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18\Juntas de Gobierno\1° Sesión Ordinaria Ene-2018\Anexos\"/>
    </mc:Choice>
  </mc:AlternateContent>
  <bookViews>
    <workbookView xWindow="0" yWindow="0" windowWidth="19200" windowHeight="9660"/>
  </bookViews>
  <sheets>
    <sheet name="PLANTILLA" sheetId="1" r:id="rId1"/>
  </sheets>
  <externalReferences>
    <externalReference r:id="rId2"/>
  </externalReferences>
  <definedNames>
    <definedName name="_xlnm.Print_Area" localSheetId="0">PLANTILLA!$I$4:$CH$86</definedName>
  </definedNames>
  <calcPr calcId="162913"/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N5" i="1" l="1"/>
  <c r="O5" i="1" s="1"/>
  <c r="Q5" i="1"/>
  <c r="R5" i="1"/>
  <c r="AE5" i="1" s="1"/>
  <c r="S5" i="1"/>
  <c r="T5" i="1"/>
  <c r="AA5" i="1"/>
  <c r="AJ5" i="1" s="1"/>
  <c r="AB5" i="1"/>
  <c r="AC5" i="1"/>
  <c r="AD5" i="1"/>
  <c r="AR5" i="1" s="1"/>
  <c r="AI5" i="1"/>
  <c r="BC5" i="1"/>
  <c r="BO5" i="1"/>
  <c r="CA5" i="1"/>
  <c r="N6" i="1"/>
  <c r="O6" i="1" s="1"/>
  <c r="Q6" i="1"/>
  <c r="R6" i="1"/>
  <c r="AE6" i="1" s="1"/>
  <c r="S6" i="1"/>
  <c r="T6" i="1"/>
  <c r="AA6" i="1"/>
  <c r="AB6" i="1"/>
  <c r="AC6" i="1"/>
  <c r="BX6" i="1" s="1"/>
  <c r="AD6" i="1"/>
  <c r="AR6" i="1" s="1"/>
  <c r="AF6" i="1"/>
  <c r="N7" i="1"/>
  <c r="O7" i="1" s="1"/>
  <c r="Q7" i="1"/>
  <c r="R7" i="1"/>
  <c r="AE7" i="1" s="1"/>
  <c r="S7" i="1"/>
  <c r="T7" i="1"/>
  <c r="AA7" i="1"/>
  <c r="AB7" i="1"/>
  <c r="AC7" i="1"/>
  <c r="AD7" i="1"/>
  <c r="AF7" i="1"/>
  <c r="AY7" i="1"/>
  <c r="BK7" i="1" s="1"/>
  <c r="N8" i="1"/>
  <c r="O8" i="1" s="1"/>
  <c r="Q8" i="1"/>
  <c r="R8" i="1"/>
  <c r="AE8" i="1" s="1"/>
  <c r="BZ8" i="1" s="1"/>
  <c r="S8" i="1"/>
  <c r="T8" i="1"/>
  <c r="AA8" i="1"/>
  <c r="BV8" i="1" s="1"/>
  <c r="AB8" i="1"/>
  <c r="AP8" i="1" s="1"/>
  <c r="AC8" i="1"/>
  <c r="AQ8" i="1" s="1"/>
  <c r="N9" i="1"/>
  <c r="O9" i="1" s="1"/>
  <c r="Q9" i="1"/>
  <c r="R9" i="1"/>
  <c r="AE9" i="1" s="1"/>
  <c r="S9" i="1"/>
  <c r="T9" i="1"/>
  <c r="AA9" i="1"/>
  <c r="AB9" i="1"/>
  <c r="BW9" i="1" s="1"/>
  <c r="AC9" i="1"/>
  <c r="AQ9" i="1" s="1"/>
  <c r="AD9" i="1"/>
  <c r="AR9" i="1" s="1"/>
  <c r="N10" i="1"/>
  <c r="O10" i="1" s="1"/>
  <c r="Q10" i="1"/>
  <c r="R10" i="1"/>
  <c r="AE10" i="1" s="1"/>
  <c r="BZ10" i="1" s="1"/>
  <c r="S10" i="1"/>
  <c r="T10" i="1"/>
  <c r="AA10" i="1"/>
  <c r="AI10" i="1" s="1"/>
  <c r="AB10" i="1"/>
  <c r="AP10" i="1" s="1"/>
  <c r="AC10" i="1"/>
  <c r="AD10" i="1"/>
  <c r="AF10" i="1"/>
  <c r="N11" i="1"/>
  <c r="O11" i="1" s="1"/>
  <c r="Q11" i="1"/>
  <c r="R11" i="1"/>
  <c r="AE11" i="1" s="1"/>
  <c r="AS11" i="1" s="1"/>
  <c r="S11" i="1"/>
  <c r="T11" i="1"/>
  <c r="AA11" i="1"/>
  <c r="AN11" i="1" s="1"/>
  <c r="AB11" i="1"/>
  <c r="AP11" i="1" s="1"/>
  <c r="AC11" i="1"/>
  <c r="AD11" i="1"/>
  <c r="BA11" i="1" s="1"/>
  <c r="BM11" i="1" s="1"/>
  <c r="N12" i="1"/>
  <c r="O12" i="1" s="1"/>
  <c r="Q12" i="1"/>
  <c r="R12" i="1"/>
  <c r="AE12" i="1" s="1"/>
  <c r="AS12" i="1" s="1"/>
  <c r="S12" i="1"/>
  <c r="T12" i="1"/>
  <c r="AA12" i="1"/>
  <c r="AI12" i="1" s="1"/>
  <c r="AT12" i="1" s="1"/>
  <c r="AB12" i="1"/>
  <c r="AC12" i="1"/>
  <c r="AQ12" i="1" s="1"/>
  <c r="AD12" i="1"/>
  <c r="AF12" i="1"/>
  <c r="N13" i="1"/>
  <c r="O13" i="1" s="1"/>
  <c r="Q13" i="1"/>
  <c r="R13" i="1"/>
  <c r="AE13" i="1" s="1"/>
  <c r="S13" i="1"/>
  <c r="T13" i="1"/>
  <c r="AA13" i="1"/>
  <c r="AI13" i="1" s="1"/>
  <c r="AB13" i="1"/>
  <c r="AC13" i="1"/>
  <c r="AQ13" i="1" s="1"/>
  <c r="AD13" i="1"/>
  <c r="BA13" i="1" s="1"/>
  <c r="BM13" i="1" s="1"/>
  <c r="N14" i="1"/>
  <c r="O14" i="1" s="1"/>
  <c r="Q14" i="1"/>
  <c r="R14" i="1"/>
  <c r="AE14" i="1" s="1"/>
  <c r="S14" i="1"/>
  <c r="T14" i="1"/>
  <c r="AA14" i="1"/>
  <c r="AI14" i="1" s="1"/>
  <c r="AB14" i="1"/>
  <c r="AY14" i="1" s="1"/>
  <c r="BK14" i="1" s="1"/>
  <c r="AC14" i="1"/>
  <c r="AD14" i="1"/>
  <c r="AL14" i="1"/>
  <c r="AP14" i="1"/>
  <c r="N15" i="1"/>
  <c r="O15" i="1" s="1"/>
  <c r="Q15" i="1"/>
  <c r="R15" i="1"/>
  <c r="AE15" i="1" s="1"/>
  <c r="S15" i="1"/>
  <c r="T15" i="1"/>
  <c r="AA15" i="1"/>
  <c r="AI15" i="1" s="1"/>
  <c r="AT15" i="1" s="1"/>
  <c r="AB15" i="1"/>
  <c r="AP15" i="1" s="1"/>
  <c r="AC15" i="1"/>
  <c r="AQ15" i="1" s="1"/>
  <c r="AD15" i="1"/>
  <c r="AF15" i="1"/>
  <c r="BV15" i="1"/>
  <c r="N16" i="1"/>
  <c r="O16" i="1" s="1"/>
  <c r="Q16" i="1"/>
  <c r="R16" i="1"/>
  <c r="AE16" i="1" s="1"/>
  <c r="S16" i="1"/>
  <c r="T16" i="1"/>
  <c r="AA16" i="1"/>
  <c r="AI16" i="1" s="1"/>
  <c r="AB16" i="1"/>
  <c r="AY16" i="1" s="1"/>
  <c r="BK16" i="1" s="1"/>
  <c r="AC16" i="1"/>
  <c r="N17" i="1"/>
  <c r="O17" i="1" s="1"/>
  <c r="Q17" i="1"/>
  <c r="R17" i="1"/>
  <c r="AE17" i="1" s="1"/>
  <c r="AS17" i="1" s="1"/>
  <c r="S17" i="1"/>
  <c r="T17" i="1"/>
  <c r="AA17" i="1"/>
  <c r="AI17" i="1" s="1"/>
  <c r="AB17" i="1"/>
  <c r="AP17" i="1" s="1"/>
  <c r="AC17" i="1"/>
  <c r="N18" i="1"/>
  <c r="O18" i="1" s="1"/>
  <c r="Q18" i="1"/>
  <c r="R18" i="1"/>
  <c r="AE18" i="1" s="1"/>
  <c r="BZ18" i="1" s="1"/>
  <c r="S18" i="1"/>
  <c r="T18" i="1"/>
  <c r="AH18" i="1" s="1"/>
  <c r="CC18" i="1" s="1"/>
  <c r="AB18" i="1"/>
  <c r="BW18" i="1" s="1"/>
  <c r="AC18" i="1"/>
  <c r="AD18" i="1"/>
  <c r="AF18" i="1"/>
  <c r="CA18" i="1" s="1"/>
  <c r="BV18" i="1"/>
  <c r="BX18" i="1"/>
  <c r="BY18" i="1"/>
  <c r="CD18" i="1"/>
  <c r="CE18" i="1"/>
  <c r="CF18" i="1"/>
  <c r="CG18" i="1"/>
  <c r="N19" i="1"/>
  <c r="O19" i="1" s="1"/>
  <c r="Q19" i="1"/>
  <c r="R19" i="1"/>
  <c r="AE19" i="1" s="1"/>
  <c r="S19" i="1"/>
  <c r="T19" i="1"/>
  <c r="AA19" i="1"/>
  <c r="AN19" i="1" s="1"/>
  <c r="AB19" i="1"/>
  <c r="AC19" i="1"/>
  <c r="N20" i="1"/>
  <c r="O20" i="1" s="1"/>
  <c r="Q20" i="1"/>
  <c r="R20" i="1"/>
  <c r="AE20" i="1" s="1"/>
  <c r="BB20" i="1" s="1"/>
  <c r="BN20" i="1" s="1"/>
  <c r="S20" i="1"/>
  <c r="T20" i="1"/>
  <c r="AA20" i="1"/>
  <c r="AB20" i="1"/>
  <c r="AY20" i="1" s="1"/>
  <c r="BK20" i="1" s="1"/>
  <c r="AC20" i="1"/>
  <c r="AZ20" i="1" s="1"/>
  <c r="BL20" i="1" s="1"/>
  <c r="AD20" i="1"/>
  <c r="N21" i="1"/>
  <c r="O21" i="1" s="1"/>
  <c r="Q21" i="1"/>
  <c r="R21" i="1"/>
  <c r="AE21" i="1" s="1"/>
  <c r="S21" i="1"/>
  <c r="T21" i="1"/>
  <c r="AA21" i="1"/>
  <c r="AO21" i="1" s="1"/>
  <c r="AB21" i="1"/>
  <c r="AC21" i="1"/>
  <c r="AD21" i="1"/>
  <c r="BY21" i="1" s="1"/>
  <c r="AI21" i="1"/>
  <c r="AT21" i="1" s="1"/>
  <c r="N22" i="1"/>
  <c r="O22" i="1" s="1"/>
  <c r="Q22" i="1"/>
  <c r="R22" i="1"/>
  <c r="AE22" i="1" s="1"/>
  <c r="S22" i="1"/>
  <c r="T22" i="1"/>
  <c r="AA22" i="1"/>
  <c r="AB22" i="1"/>
  <c r="AC22" i="1"/>
  <c r="AD22" i="1"/>
  <c r="AR22" i="1" s="1"/>
  <c r="AF22" i="1"/>
  <c r="AS22" i="1"/>
  <c r="N23" i="1"/>
  <c r="O23" i="1" s="1"/>
  <c r="Q23" i="1"/>
  <c r="R23" i="1"/>
  <c r="AE23" i="1" s="1"/>
  <c r="S23" i="1"/>
  <c r="T23" i="1"/>
  <c r="AA23" i="1"/>
  <c r="AB23" i="1"/>
  <c r="AP23" i="1" s="1"/>
  <c r="AC23" i="1"/>
  <c r="AQ23" i="1" s="1"/>
  <c r="AD23" i="1"/>
  <c r="BY23" i="1" s="1"/>
  <c r="N24" i="1"/>
  <c r="O24" i="1" s="1"/>
  <c r="Q24" i="1"/>
  <c r="R24" i="1"/>
  <c r="AE24" i="1" s="1"/>
  <c r="BB24" i="1" s="1"/>
  <c r="BN24" i="1" s="1"/>
  <c r="S24" i="1"/>
  <c r="T24" i="1"/>
  <c r="AA24" i="1"/>
  <c r="AB24" i="1"/>
  <c r="AC24" i="1"/>
  <c r="BX24" i="1" s="1"/>
  <c r="N25" i="1"/>
  <c r="O25" i="1" s="1"/>
  <c r="Q25" i="1"/>
  <c r="R25" i="1"/>
  <c r="AE25" i="1" s="1"/>
  <c r="BZ25" i="1" s="1"/>
  <c r="S25" i="1"/>
  <c r="T25" i="1"/>
  <c r="AA25" i="1"/>
  <c r="AI25" i="1" s="1"/>
  <c r="CD25" i="1" s="1"/>
  <c r="AB25" i="1"/>
  <c r="AC25" i="1"/>
  <c r="AD25" i="1"/>
  <c r="N26" i="1"/>
  <c r="O26" i="1" s="1"/>
  <c r="Q26" i="1"/>
  <c r="R26" i="1"/>
  <c r="AE26" i="1" s="1"/>
  <c r="AS26" i="1" s="1"/>
  <c r="S26" i="1"/>
  <c r="T26" i="1"/>
  <c r="AA26" i="1"/>
  <c r="AN26" i="1" s="1"/>
  <c r="AB26" i="1"/>
  <c r="AC26" i="1"/>
  <c r="AZ26" i="1" s="1"/>
  <c r="BL26" i="1" s="1"/>
  <c r="N27" i="1"/>
  <c r="O27" i="1" s="1"/>
  <c r="Q27" i="1"/>
  <c r="R27" i="1"/>
  <c r="AE27" i="1" s="1"/>
  <c r="S27" i="1"/>
  <c r="T27" i="1"/>
  <c r="AA27" i="1"/>
  <c r="AB27" i="1"/>
  <c r="AC27" i="1"/>
  <c r="AQ27" i="1" s="1"/>
  <c r="AD27" i="1"/>
  <c r="BY27" i="1" s="1"/>
  <c r="N28" i="1"/>
  <c r="O28" i="1" s="1"/>
  <c r="Q28" i="1"/>
  <c r="R28" i="1"/>
  <c r="AE28" i="1" s="1"/>
  <c r="BB28" i="1" s="1"/>
  <c r="BN28" i="1" s="1"/>
  <c r="S28" i="1"/>
  <c r="T28" i="1"/>
  <c r="AA28" i="1"/>
  <c r="AJ28" i="1" s="1"/>
  <c r="AB28" i="1"/>
  <c r="AC28" i="1"/>
  <c r="AZ28" i="1" s="1"/>
  <c r="BL28" i="1" s="1"/>
  <c r="AD28" i="1"/>
  <c r="AR28" i="1" s="1"/>
  <c r="AF28" i="1"/>
  <c r="N29" i="1"/>
  <c r="O29" i="1" s="1"/>
  <c r="Q29" i="1"/>
  <c r="R29" i="1"/>
  <c r="AE29" i="1" s="1"/>
  <c r="S29" i="1"/>
  <c r="T29" i="1"/>
  <c r="AA29" i="1"/>
  <c r="AX29" i="1" s="1"/>
  <c r="BJ29" i="1" s="1"/>
  <c r="AB29" i="1"/>
  <c r="BW29" i="1" s="1"/>
  <c r="AC29" i="1"/>
  <c r="AD29" i="1"/>
  <c r="AR29" i="1" s="1"/>
  <c r="N30" i="1"/>
  <c r="O30" i="1" s="1"/>
  <c r="Q30" i="1"/>
  <c r="R30" i="1"/>
  <c r="AE30" i="1" s="1"/>
  <c r="BB30" i="1" s="1"/>
  <c r="BN30" i="1" s="1"/>
  <c r="S30" i="1"/>
  <c r="T30" i="1"/>
  <c r="AA30" i="1"/>
  <c r="AF30" i="1" s="1"/>
  <c r="AB30" i="1"/>
  <c r="AC30" i="1"/>
  <c r="AD30" i="1"/>
  <c r="BY30" i="1" s="1"/>
  <c r="AI30" i="1"/>
  <c r="AT30" i="1" s="1"/>
  <c r="N31" i="1"/>
  <c r="O31" i="1" s="1"/>
  <c r="Q31" i="1"/>
  <c r="R31" i="1"/>
  <c r="AE31" i="1" s="1"/>
  <c r="S31" i="1"/>
  <c r="T31" i="1"/>
  <c r="AA31" i="1"/>
  <c r="AI31" i="1" s="1"/>
  <c r="AB31" i="1"/>
  <c r="AC31" i="1"/>
  <c r="AD31" i="1"/>
  <c r="BY31" i="1" s="1"/>
  <c r="AF31" i="1"/>
  <c r="AR31" i="1"/>
  <c r="N32" i="1"/>
  <c r="O32" i="1" s="1"/>
  <c r="Q32" i="1"/>
  <c r="R32" i="1"/>
  <c r="AE32" i="1" s="1"/>
  <c r="S32" i="1"/>
  <c r="T32" i="1"/>
  <c r="AA32" i="1"/>
  <c r="AJ32" i="1" s="1"/>
  <c r="AB32" i="1"/>
  <c r="AC32" i="1"/>
  <c r="AD32" i="1"/>
  <c r="BA32" i="1" s="1"/>
  <c r="BM32" i="1" s="1"/>
  <c r="AF32" i="1"/>
  <c r="BO32" i="1" s="1"/>
  <c r="N33" i="1"/>
  <c r="O33" i="1" s="1"/>
  <c r="Q33" i="1"/>
  <c r="R33" i="1"/>
  <c r="AE33" i="1" s="1"/>
  <c r="S33" i="1"/>
  <c r="T33" i="1"/>
  <c r="AA33" i="1"/>
  <c r="AB33" i="1"/>
  <c r="AC33" i="1"/>
  <c r="BX33" i="1" s="1"/>
  <c r="AD33" i="1"/>
  <c r="AX33" i="1"/>
  <c r="BJ33" i="1" s="1"/>
  <c r="N34" i="1"/>
  <c r="O34" i="1" s="1"/>
  <c r="Q34" i="1"/>
  <c r="R34" i="1"/>
  <c r="AE34" i="1" s="1"/>
  <c r="S34" i="1"/>
  <c r="T34" i="1"/>
  <c r="AA34" i="1"/>
  <c r="AO34" i="1" s="1"/>
  <c r="AB34" i="1"/>
  <c r="AY34" i="1" s="1"/>
  <c r="BK34" i="1" s="1"/>
  <c r="AC34" i="1"/>
  <c r="AD34" i="1"/>
  <c r="N35" i="1"/>
  <c r="O35" i="1" s="1"/>
  <c r="Q35" i="1"/>
  <c r="R35" i="1"/>
  <c r="AE35" i="1" s="1"/>
  <c r="S35" i="1"/>
  <c r="T35" i="1"/>
  <c r="AA35" i="1"/>
  <c r="AI35" i="1" s="1"/>
  <c r="AB35" i="1"/>
  <c r="AC35" i="1"/>
  <c r="AD35" i="1"/>
  <c r="BY35" i="1" s="1"/>
  <c r="AF35" i="1"/>
  <c r="N36" i="1"/>
  <c r="O36" i="1" s="1"/>
  <c r="Q36" i="1"/>
  <c r="R36" i="1"/>
  <c r="AE36" i="1" s="1"/>
  <c r="S36" i="1"/>
  <c r="T36" i="1"/>
  <c r="AA36" i="1"/>
  <c r="AB36" i="1"/>
  <c r="AC36" i="1"/>
  <c r="AD36" i="1"/>
  <c r="BA36" i="1" s="1"/>
  <c r="BM36" i="1" s="1"/>
  <c r="N37" i="1"/>
  <c r="O37" i="1" s="1"/>
  <c r="Q37" i="1"/>
  <c r="R37" i="1"/>
  <c r="AE37" i="1" s="1"/>
  <c r="BB37" i="1" s="1"/>
  <c r="BN37" i="1" s="1"/>
  <c r="S37" i="1"/>
  <c r="T37" i="1"/>
  <c r="AA37" i="1"/>
  <c r="AL37" i="1" s="1"/>
  <c r="AB37" i="1"/>
  <c r="AY37" i="1" s="1"/>
  <c r="BK37" i="1" s="1"/>
  <c r="AC37" i="1"/>
  <c r="AZ37" i="1" s="1"/>
  <c r="BL37" i="1" s="1"/>
  <c r="AD37" i="1"/>
  <c r="N38" i="1"/>
  <c r="O38" i="1" s="1"/>
  <c r="Q38" i="1"/>
  <c r="R38" i="1"/>
  <c r="AE38" i="1" s="1"/>
  <c r="S38" i="1"/>
  <c r="T38" i="1"/>
  <c r="AA38" i="1"/>
  <c r="AO38" i="1" s="1"/>
  <c r="AB38" i="1"/>
  <c r="AY38" i="1" s="1"/>
  <c r="BK38" i="1" s="1"/>
  <c r="AC38" i="1"/>
  <c r="AD38" i="1"/>
  <c r="AX38" i="1"/>
  <c r="BJ38" i="1" s="1"/>
  <c r="N39" i="1"/>
  <c r="O39" i="1" s="1"/>
  <c r="Q39" i="1"/>
  <c r="R39" i="1"/>
  <c r="AE39" i="1" s="1"/>
  <c r="AS39" i="1" s="1"/>
  <c r="S39" i="1"/>
  <c r="T39" i="1"/>
  <c r="AA39" i="1"/>
  <c r="AK39" i="1" s="1"/>
  <c r="AB39" i="1"/>
  <c r="AC39" i="1"/>
  <c r="AD39" i="1"/>
  <c r="BY39" i="1" s="1"/>
  <c r="AF39" i="1"/>
  <c r="N40" i="1"/>
  <c r="O40" i="1" s="1"/>
  <c r="Q40" i="1"/>
  <c r="R40" i="1"/>
  <c r="AE40" i="1" s="1"/>
  <c r="S40" i="1"/>
  <c r="T40" i="1"/>
  <c r="AA40" i="1"/>
  <c r="AB40" i="1"/>
  <c r="AC40" i="1"/>
  <c r="AD40" i="1"/>
  <c r="AF40" i="1"/>
  <c r="BA40" i="1"/>
  <c r="BM40" i="1" s="1"/>
  <c r="N41" i="1"/>
  <c r="O41" i="1" s="1"/>
  <c r="Q41" i="1"/>
  <c r="R41" i="1"/>
  <c r="AE41" i="1" s="1"/>
  <c r="BB41" i="1" s="1"/>
  <c r="BN41" i="1" s="1"/>
  <c r="S41" i="1"/>
  <c r="T41" i="1"/>
  <c r="AA41" i="1"/>
  <c r="AB41" i="1"/>
  <c r="AC41" i="1"/>
  <c r="AZ41" i="1" s="1"/>
  <c r="BL41" i="1" s="1"/>
  <c r="AD41" i="1"/>
  <c r="N42" i="1"/>
  <c r="O42" i="1" s="1"/>
  <c r="Q42" i="1"/>
  <c r="R42" i="1"/>
  <c r="AE42" i="1" s="1"/>
  <c r="AS42" i="1" s="1"/>
  <c r="S42" i="1"/>
  <c r="T42" i="1"/>
  <c r="AA42" i="1"/>
  <c r="AX42" i="1" s="1"/>
  <c r="BJ42" i="1" s="1"/>
  <c r="AB42" i="1"/>
  <c r="BW42" i="1" s="1"/>
  <c r="AC42" i="1"/>
  <c r="AD42" i="1"/>
  <c r="N43" i="1"/>
  <c r="O43" i="1" s="1"/>
  <c r="Q43" i="1"/>
  <c r="R43" i="1"/>
  <c r="AE43" i="1" s="1"/>
  <c r="AS43" i="1" s="1"/>
  <c r="S43" i="1"/>
  <c r="T43" i="1"/>
  <c r="AA43" i="1"/>
  <c r="AI43" i="1" s="1"/>
  <c r="AB43" i="1"/>
  <c r="AP43" i="1" s="1"/>
  <c r="AC43" i="1"/>
  <c r="AZ43" i="1" s="1"/>
  <c r="BL43" i="1" s="1"/>
  <c r="AY43" i="1"/>
  <c r="BK43" i="1" s="1"/>
  <c r="N44" i="1"/>
  <c r="O44" i="1" s="1"/>
  <c r="Q44" i="1"/>
  <c r="R44" i="1"/>
  <c r="AE44" i="1" s="1"/>
  <c r="BB44" i="1" s="1"/>
  <c r="BN44" i="1" s="1"/>
  <c r="S44" i="1"/>
  <c r="T44" i="1"/>
  <c r="AA44" i="1"/>
  <c r="AB44" i="1"/>
  <c r="BW44" i="1" s="1"/>
  <c r="AC44" i="1"/>
  <c r="AD44" i="1"/>
  <c r="AR44" i="1" s="1"/>
  <c r="AX44" i="1"/>
  <c r="BJ44" i="1" s="1"/>
  <c r="N45" i="1"/>
  <c r="O45" i="1" s="1"/>
  <c r="Q45" i="1"/>
  <c r="R45" i="1"/>
  <c r="AE45" i="1" s="1"/>
  <c r="S45" i="1"/>
  <c r="T45" i="1"/>
  <c r="AA45" i="1"/>
  <c r="AI45" i="1" s="1"/>
  <c r="AB45" i="1"/>
  <c r="AC45" i="1"/>
  <c r="AQ45" i="1" s="1"/>
  <c r="AD45" i="1"/>
  <c r="AR45" i="1" s="1"/>
  <c r="AF45" i="1"/>
  <c r="AO45" i="1"/>
  <c r="N46" i="1"/>
  <c r="O46" i="1" s="1"/>
  <c r="Q46" i="1"/>
  <c r="R46" i="1"/>
  <c r="AE46" i="1" s="1"/>
  <c r="S46" i="1"/>
  <c r="T46" i="1"/>
  <c r="AA46" i="1"/>
  <c r="AF46" i="1" s="1"/>
  <c r="AB46" i="1"/>
  <c r="AP46" i="1" s="1"/>
  <c r="AC46" i="1"/>
  <c r="AZ46" i="1" s="1"/>
  <c r="BL46" i="1" s="1"/>
  <c r="AD46" i="1"/>
  <c r="BY46" i="1" s="1"/>
  <c r="AI46" i="1"/>
  <c r="N47" i="1"/>
  <c r="O47" i="1" s="1"/>
  <c r="Q47" i="1"/>
  <c r="R47" i="1"/>
  <c r="AE47" i="1" s="1"/>
  <c r="AS47" i="1" s="1"/>
  <c r="S47" i="1"/>
  <c r="T47" i="1"/>
  <c r="AA47" i="1"/>
  <c r="AK47" i="1" s="1"/>
  <c r="CF47" i="1" s="1"/>
  <c r="AD47" i="1"/>
  <c r="BY47" i="1" s="1"/>
  <c r="AP47" i="1"/>
  <c r="AQ47" i="1"/>
  <c r="AY47" i="1"/>
  <c r="BK47" i="1" s="1"/>
  <c r="AZ47" i="1"/>
  <c r="BL47" i="1" s="1"/>
  <c r="BW47" i="1"/>
  <c r="BX47" i="1"/>
  <c r="N48" i="1"/>
  <c r="O48" i="1" s="1"/>
  <c r="Q48" i="1"/>
  <c r="R48" i="1"/>
  <c r="AE48" i="1" s="1"/>
  <c r="S48" i="1"/>
  <c r="T48" i="1"/>
  <c r="AA48" i="1"/>
  <c r="AB48" i="1"/>
  <c r="AP48" i="1" s="1"/>
  <c r="AC48" i="1"/>
  <c r="AD48" i="1"/>
  <c r="AR48" i="1" s="1"/>
  <c r="N49" i="1"/>
  <c r="O49" i="1" s="1"/>
  <c r="Q49" i="1"/>
  <c r="R49" i="1"/>
  <c r="AE49" i="1" s="1"/>
  <c r="BB49" i="1" s="1"/>
  <c r="BN49" i="1" s="1"/>
  <c r="S49" i="1"/>
  <c r="T49" i="1"/>
  <c r="AA49" i="1"/>
  <c r="AL49" i="1" s="1"/>
  <c r="AB49" i="1"/>
  <c r="AY49" i="1" s="1"/>
  <c r="BK49" i="1" s="1"/>
  <c r="AC49" i="1"/>
  <c r="AQ49" i="1" s="1"/>
  <c r="AD49" i="1"/>
  <c r="N50" i="1"/>
  <c r="O50" i="1" s="1"/>
  <c r="Q50" i="1"/>
  <c r="R50" i="1"/>
  <c r="AE50" i="1" s="1"/>
  <c r="S50" i="1"/>
  <c r="T50" i="1"/>
  <c r="AA50" i="1"/>
  <c r="AK50" i="1" s="1"/>
  <c r="AB50" i="1"/>
  <c r="BW50" i="1" s="1"/>
  <c r="AC50" i="1"/>
  <c r="AD50" i="1"/>
  <c r="BY50" i="1" s="1"/>
  <c r="AO50" i="1"/>
  <c r="N51" i="1"/>
  <c r="O51" i="1" s="1"/>
  <c r="Q51" i="1"/>
  <c r="R51" i="1"/>
  <c r="AE51" i="1" s="1"/>
  <c r="AS51" i="1" s="1"/>
  <c r="S51" i="1"/>
  <c r="T51" i="1"/>
  <c r="AA51" i="1"/>
  <c r="AI51" i="1" s="1"/>
  <c r="AB51" i="1"/>
  <c r="AC51" i="1"/>
  <c r="AZ51" i="1" s="1"/>
  <c r="BL51" i="1" s="1"/>
  <c r="AD51" i="1"/>
  <c r="AR51" i="1" s="1"/>
  <c r="AF51" i="1"/>
  <c r="AO51" i="1"/>
  <c r="N52" i="1"/>
  <c r="O52" i="1" s="1"/>
  <c r="Q52" i="1"/>
  <c r="R52" i="1"/>
  <c r="AE52" i="1" s="1"/>
  <c r="S52" i="1"/>
  <c r="T52" i="1"/>
  <c r="AA52" i="1"/>
  <c r="AN52" i="1" s="1"/>
  <c r="AB52" i="1"/>
  <c r="BW52" i="1" s="1"/>
  <c r="AC52" i="1"/>
  <c r="AZ52" i="1" s="1"/>
  <c r="BL52" i="1" s="1"/>
  <c r="AD52" i="1"/>
  <c r="BA52" i="1" s="1"/>
  <c r="BM52" i="1" s="1"/>
  <c r="AF52" i="1"/>
  <c r="CA52" i="1" s="1"/>
  <c r="N53" i="1"/>
  <c r="O53" i="1" s="1"/>
  <c r="Q53" i="1"/>
  <c r="R53" i="1"/>
  <c r="AE53" i="1" s="1"/>
  <c r="BB53" i="1" s="1"/>
  <c r="BN53" i="1" s="1"/>
  <c r="S53" i="1"/>
  <c r="T53" i="1"/>
  <c r="AA53" i="1"/>
  <c r="AX53" i="1" s="1"/>
  <c r="BJ53" i="1" s="1"/>
  <c r="AB53" i="1"/>
  <c r="AY53" i="1" s="1"/>
  <c r="BK53" i="1" s="1"/>
  <c r="AC53" i="1"/>
  <c r="AZ53" i="1" s="1"/>
  <c r="BL53" i="1" s="1"/>
  <c r="AD53" i="1"/>
  <c r="N54" i="1"/>
  <c r="O54" i="1" s="1"/>
  <c r="Q54" i="1"/>
  <c r="R54" i="1"/>
  <c r="AE54" i="1" s="1"/>
  <c r="BB54" i="1" s="1"/>
  <c r="BN54" i="1" s="1"/>
  <c r="S54" i="1"/>
  <c r="T54" i="1"/>
  <c r="AA54" i="1"/>
  <c r="AK54" i="1" s="1"/>
  <c r="AB54" i="1"/>
  <c r="AP54" i="1" s="1"/>
  <c r="AC54" i="1"/>
  <c r="N55" i="1"/>
  <c r="O55" i="1" s="1"/>
  <c r="Q55" i="1"/>
  <c r="R55" i="1"/>
  <c r="AE55" i="1" s="1"/>
  <c r="AS55" i="1" s="1"/>
  <c r="S55" i="1"/>
  <c r="T55" i="1"/>
  <c r="AA55" i="1"/>
  <c r="AX55" i="1" s="1"/>
  <c r="BJ55" i="1" s="1"/>
  <c r="AB55" i="1"/>
  <c r="AC55" i="1"/>
  <c r="AQ55" i="1" s="1"/>
  <c r="N56" i="1"/>
  <c r="O56" i="1" s="1"/>
  <c r="Q56" i="1"/>
  <c r="R56" i="1"/>
  <c r="AE56" i="1" s="1"/>
  <c r="S56" i="1"/>
  <c r="T56" i="1"/>
  <c r="AA56" i="1"/>
  <c r="AJ56" i="1" s="1"/>
  <c r="CE56" i="1" s="1"/>
  <c r="AB56" i="1"/>
  <c r="AC56" i="1"/>
  <c r="AQ56" i="1" s="1"/>
  <c r="AD56" i="1"/>
  <c r="BA56" i="1" s="1"/>
  <c r="BM56" i="1" s="1"/>
  <c r="AF56" i="1"/>
  <c r="BC56" i="1" s="1"/>
  <c r="N57" i="1"/>
  <c r="O57" i="1" s="1"/>
  <c r="Q57" i="1"/>
  <c r="R57" i="1"/>
  <c r="AE57" i="1" s="1"/>
  <c r="BB57" i="1" s="1"/>
  <c r="BN57" i="1" s="1"/>
  <c r="S57" i="1"/>
  <c r="T57" i="1"/>
  <c r="AA57" i="1"/>
  <c r="AB57" i="1"/>
  <c r="AC57" i="1"/>
  <c r="AZ57" i="1" s="1"/>
  <c r="BL57" i="1" s="1"/>
  <c r="AD57" i="1"/>
  <c r="N58" i="1"/>
  <c r="O58" i="1" s="1"/>
  <c r="Q58" i="1"/>
  <c r="R58" i="1"/>
  <c r="AE58" i="1" s="1"/>
  <c r="BZ58" i="1" s="1"/>
  <c r="S58" i="1"/>
  <c r="T58" i="1"/>
  <c r="AA58" i="1"/>
  <c r="AO58" i="1" s="1"/>
  <c r="AB58" i="1"/>
  <c r="AP58" i="1" s="1"/>
  <c r="AC58" i="1"/>
  <c r="AQ58" i="1" s="1"/>
  <c r="AD58" i="1"/>
  <c r="AI58" i="1"/>
  <c r="N59" i="1"/>
  <c r="O59" i="1" s="1"/>
  <c r="Q59" i="1"/>
  <c r="R59" i="1"/>
  <c r="AE59" i="1" s="1"/>
  <c r="AS59" i="1" s="1"/>
  <c r="S59" i="1"/>
  <c r="T59" i="1"/>
  <c r="AA59" i="1"/>
  <c r="AK59" i="1" s="1"/>
  <c r="AB59" i="1"/>
  <c r="AP59" i="1" s="1"/>
  <c r="AC59" i="1"/>
  <c r="BX59" i="1" s="1"/>
  <c r="AD59" i="1"/>
  <c r="BA59" i="1" s="1"/>
  <c r="BM59" i="1" s="1"/>
  <c r="AF59" i="1"/>
  <c r="N60" i="1"/>
  <c r="O60" i="1" s="1"/>
  <c r="Q60" i="1"/>
  <c r="R60" i="1"/>
  <c r="AE60" i="1" s="1"/>
  <c r="AS60" i="1" s="1"/>
  <c r="S60" i="1"/>
  <c r="T60" i="1"/>
  <c r="AA60" i="1"/>
  <c r="AB60" i="1"/>
  <c r="AC60" i="1"/>
  <c r="BX60" i="1" s="1"/>
  <c r="AD60" i="1"/>
  <c r="AR60" i="1" s="1"/>
  <c r="AI60" i="1"/>
  <c r="N61" i="1"/>
  <c r="O61" i="1" s="1"/>
  <c r="Q61" i="1"/>
  <c r="R61" i="1"/>
  <c r="AE61" i="1" s="1"/>
  <c r="AS61" i="1" s="1"/>
  <c r="S61" i="1"/>
  <c r="T61" i="1"/>
  <c r="AA61" i="1"/>
  <c r="AJ61" i="1" s="1"/>
  <c r="AB61" i="1"/>
  <c r="AC61" i="1"/>
  <c r="AQ61" i="1" s="1"/>
  <c r="AD61" i="1"/>
  <c r="BA61" i="1" s="1"/>
  <c r="BM61" i="1" s="1"/>
  <c r="N62" i="1"/>
  <c r="O62" i="1" s="1"/>
  <c r="Q62" i="1"/>
  <c r="R62" i="1"/>
  <c r="AE62" i="1" s="1"/>
  <c r="S62" i="1"/>
  <c r="T62" i="1"/>
  <c r="AA62" i="1"/>
  <c r="AJ62" i="1" s="1"/>
  <c r="AB62" i="1"/>
  <c r="AP62" i="1" s="1"/>
  <c r="AC62" i="1"/>
  <c r="AZ62" i="1" s="1"/>
  <c r="BL62" i="1" s="1"/>
  <c r="AD62" i="1"/>
  <c r="BA62" i="1" s="1"/>
  <c r="BM62" i="1" s="1"/>
  <c r="AF62" i="1"/>
  <c r="BO62" i="1" s="1"/>
  <c r="N63" i="1"/>
  <c r="O63" i="1" s="1"/>
  <c r="Q63" i="1"/>
  <c r="R63" i="1"/>
  <c r="AE63" i="1" s="1"/>
  <c r="AS63" i="1" s="1"/>
  <c r="S63" i="1"/>
  <c r="T63" i="1"/>
  <c r="AA63" i="1"/>
  <c r="AB63" i="1"/>
  <c r="AP63" i="1" s="1"/>
  <c r="AC63" i="1"/>
  <c r="AZ63" i="1" s="1"/>
  <c r="BL63" i="1" s="1"/>
  <c r="AD63" i="1"/>
  <c r="BW63" i="1"/>
  <c r="N64" i="1"/>
  <c r="O64" i="1" s="1"/>
  <c r="Q64" i="1"/>
  <c r="R64" i="1"/>
  <c r="AE64" i="1" s="1"/>
  <c r="S64" i="1"/>
  <c r="T64" i="1"/>
  <c r="AA64" i="1"/>
  <c r="AF64" i="1" s="1"/>
  <c r="AB64" i="1"/>
  <c r="AC64" i="1"/>
  <c r="AD64" i="1"/>
  <c r="AR64" i="1" s="1"/>
  <c r="AI64" i="1"/>
  <c r="N65" i="1"/>
  <c r="O65" i="1" s="1"/>
  <c r="Q65" i="1"/>
  <c r="R65" i="1"/>
  <c r="AE65" i="1" s="1"/>
  <c r="AS65" i="1" s="1"/>
  <c r="S65" i="1"/>
  <c r="T65" i="1"/>
  <c r="AA65" i="1"/>
  <c r="AB65" i="1"/>
  <c r="AC65" i="1"/>
  <c r="AD65" i="1"/>
  <c r="AR65" i="1" s="1"/>
  <c r="AF65" i="1"/>
  <c r="N66" i="1"/>
  <c r="O66" i="1" s="1"/>
  <c r="Q66" i="1"/>
  <c r="R66" i="1"/>
  <c r="AE66" i="1" s="1"/>
  <c r="S66" i="1"/>
  <c r="T66" i="1"/>
  <c r="AA66" i="1"/>
  <c r="AJ66" i="1" s="1"/>
  <c r="AB66" i="1"/>
  <c r="AP66" i="1" s="1"/>
  <c r="AC66" i="1"/>
  <c r="AZ66" i="1" s="1"/>
  <c r="BL66" i="1" s="1"/>
  <c r="AD66" i="1"/>
  <c r="BA66" i="1" s="1"/>
  <c r="BM66" i="1" s="1"/>
  <c r="AF66" i="1"/>
  <c r="BO66" i="1" s="1"/>
  <c r="N67" i="1"/>
  <c r="O67" i="1" s="1"/>
  <c r="Q67" i="1"/>
  <c r="R67" i="1"/>
  <c r="AE67" i="1" s="1"/>
  <c r="S67" i="1"/>
  <c r="T67" i="1"/>
  <c r="AA67" i="1"/>
  <c r="AB67" i="1"/>
  <c r="AY67" i="1" s="1"/>
  <c r="BK67" i="1" s="1"/>
  <c r="AC67" i="1"/>
  <c r="AZ67" i="1" s="1"/>
  <c r="BL67" i="1" s="1"/>
  <c r="AD67" i="1"/>
  <c r="N68" i="1"/>
  <c r="O68" i="1" s="1"/>
  <c r="Q68" i="1"/>
  <c r="R68" i="1"/>
  <c r="AE68" i="1" s="1"/>
  <c r="S68" i="1"/>
  <c r="T68" i="1"/>
  <c r="AA68" i="1"/>
  <c r="AB68" i="1"/>
  <c r="AY68" i="1" s="1"/>
  <c r="BK68" i="1" s="1"/>
  <c r="AC68" i="1"/>
  <c r="AD68" i="1"/>
  <c r="AR68" i="1" s="1"/>
  <c r="AN68" i="1"/>
  <c r="AP68" i="1"/>
  <c r="N69" i="1"/>
  <c r="O69" i="1" s="1"/>
  <c r="Q69" i="1"/>
  <c r="R69" i="1"/>
  <c r="AE69" i="1" s="1"/>
  <c r="AS69" i="1" s="1"/>
  <c r="S69" i="1"/>
  <c r="T69" i="1"/>
  <c r="AA69" i="1"/>
  <c r="AB69" i="1"/>
  <c r="AC69" i="1"/>
  <c r="AD69" i="1"/>
  <c r="BY69" i="1" s="1"/>
  <c r="AF69" i="1"/>
  <c r="N70" i="1"/>
  <c r="O70" i="1" s="1"/>
  <c r="Q70" i="1"/>
  <c r="R70" i="1"/>
  <c r="AE70" i="1" s="1"/>
  <c r="S70" i="1"/>
  <c r="T70" i="1"/>
  <c r="AA70" i="1"/>
  <c r="AN70" i="1" s="1"/>
  <c r="AB70" i="1"/>
  <c r="AP70" i="1" s="1"/>
  <c r="AC70" i="1"/>
  <c r="AZ70" i="1" s="1"/>
  <c r="BL70" i="1" s="1"/>
  <c r="AD70" i="1"/>
  <c r="BA70" i="1" s="1"/>
  <c r="BM70" i="1" s="1"/>
  <c r="AF70" i="1"/>
  <c r="BO70" i="1" s="1"/>
  <c r="N71" i="1"/>
  <c r="O71" i="1" s="1"/>
  <c r="Q71" i="1"/>
  <c r="R71" i="1"/>
  <c r="AE71" i="1" s="1"/>
  <c r="AS71" i="1" s="1"/>
  <c r="S71" i="1"/>
  <c r="T71" i="1"/>
  <c r="AA71" i="1"/>
  <c r="AI71" i="1" s="1"/>
  <c r="AB71" i="1"/>
  <c r="AP71" i="1" s="1"/>
  <c r="AC71" i="1"/>
  <c r="AQ71" i="1" s="1"/>
  <c r="AD71" i="1"/>
  <c r="N72" i="1"/>
  <c r="O72" i="1" s="1"/>
  <c r="Q72" i="1"/>
  <c r="R72" i="1"/>
  <c r="AE72" i="1" s="1"/>
  <c r="S72" i="1"/>
  <c r="T72" i="1"/>
  <c r="AA72" i="1"/>
  <c r="BV72" i="1" s="1"/>
  <c r="AB72" i="1"/>
  <c r="AP72" i="1" s="1"/>
  <c r="AC72" i="1"/>
  <c r="AD72" i="1"/>
  <c r="AR72" i="1" s="1"/>
  <c r="N73" i="1"/>
  <c r="O73" i="1" s="1"/>
  <c r="Q73" i="1"/>
  <c r="R73" i="1"/>
  <c r="AE73" i="1" s="1"/>
  <c r="AS73" i="1" s="1"/>
  <c r="S73" i="1"/>
  <c r="T73" i="1"/>
  <c r="AA73" i="1"/>
  <c r="AI73" i="1" s="1"/>
  <c r="AT73" i="1" s="1"/>
  <c r="AB73" i="1"/>
  <c r="AC73" i="1"/>
  <c r="BX73" i="1" s="1"/>
  <c r="AD73" i="1"/>
  <c r="AR73" i="1" s="1"/>
  <c r="AF73" i="1"/>
  <c r="N74" i="1"/>
  <c r="O74" i="1" s="1"/>
  <c r="Q74" i="1"/>
  <c r="R74" i="1"/>
  <c r="AE74" i="1" s="1"/>
  <c r="S74" i="1"/>
  <c r="T74" i="1"/>
  <c r="AA74" i="1"/>
  <c r="AN74" i="1" s="1"/>
  <c r="AB74" i="1"/>
  <c r="AP74" i="1" s="1"/>
  <c r="AC74" i="1"/>
  <c r="BX74" i="1" s="1"/>
  <c r="AD74" i="1"/>
  <c r="AF74" i="1"/>
  <c r="BO74" i="1" s="1"/>
  <c r="N75" i="1"/>
  <c r="O75" i="1" s="1"/>
  <c r="Q75" i="1"/>
  <c r="R75" i="1"/>
  <c r="AE75" i="1" s="1"/>
  <c r="S75" i="1"/>
  <c r="T75" i="1"/>
  <c r="AA75" i="1"/>
  <c r="AX75" i="1" s="1"/>
  <c r="BJ75" i="1" s="1"/>
  <c r="AB75" i="1"/>
  <c r="AY75" i="1" s="1"/>
  <c r="BK75" i="1" s="1"/>
  <c r="AC75" i="1"/>
  <c r="AQ75" i="1" s="1"/>
  <c r="AD75" i="1"/>
  <c r="N76" i="1"/>
  <c r="O76" i="1" s="1"/>
  <c r="Q76" i="1"/>
  <c r="R76" i="1"/>
  <c r="AE76" i="1" s="1"/>
  <c r="BZ76" i="1" s="1"/>
  <c r="S76" i="1"/>
  <c r="T76" i="1"/>
  <c r="AA76" i="1"/>
  <c r="AF76" i="1" s="1"/>
  <c r="AB76" i="1"/>
  <c r="BW76" i="1" s="1"/>
  <c r="AC76" i="1"/>
  <c r="AD76" i="1"/>
  <c r="AI76" i="1"/>
  <c r="BF76" i="1" s="1"/>
  <c r="BR76" i="1" s="1"/>
  <c r="AY76" i="1"/>
  <c r="BK76" i="1" s="1"/>
  <c r="N77" i="1"/>
  <c r="O77" i="1" s="1"/>
  <c r="Q77" i="1"/>
  <c r="R77" i="1"/>
  <c r="AE77" i="1" s="1"/>
  <c r="AS77" i="1" s="1"/>
  <c r="S77" i="1"/>
  <c r="T77" i="1"/>
  <c r="AA77" i="1"/>
  <c r="AL77" i="1" s="1"/>
  <c r="AB77" i="1"/>
  <c r="AC77" i="1"/>
  <c r="AD77" i="1"/>
  <c r="AF77" i="1"/>
  <c r="N78" i="1"/>
  <c r="O78" i="1" s="1"/>
  <c r="Q78" i="1"/>
  <c r="R78" i="1"/>
  <c r="AE78" i="1" s="1"/>
  <c r="S78" i="1"/>
  <c r="T78" i="1"/>
  <c r="AA78" i="1"/>
  <c r="AN78" i="1" s="1"/>
  <c r="AB78" i="1"/>
  <c r="AC78" i="1"/>
  <c r="AQ78" i="1" s="1"/>
  <c r="AD78" i="1"/>
  <c r="AF78" i="1"/>
  <c r="CA78" i="1" s="1"/>
  <c r="N79" i="1"/>
  <c r="O79" i="1" s="1"/>
  <c r="Q79" i="1"/>
  <c r="R79" i="1"/>
  <c r="AE79" i="1" s="1"/>
  <c r="S79" i="1"/>
  <c r="T79" i="1"/>
  <c r="AA79" i="1"/>
  <c r="AX79" i="1" s="1"/>
  <c r="BJ79" i="1" s="1"/>
  <c r="AB79" i="1"/>
  <c r="AY79" i="1" s="1"/>
  <c r="BK79" i="1" s="1"/>
  <c r="AC79" i="1"/>
  <c r="AD79" i="1"/>
  <c r="AZ79" i="1"/>
  <c r="BL79" i="1" s="1"/>
  <c r="N80" i="1"/>
  <c r="O80" i="1" s="1"/>
  <c r="Q80" i="1"/>
  <c r="R80" i="1"/>
  <c r="AE80" i="1" s="1"/>
  <c r="AS80" i="1" s="1"/>
  <c r="S80" i="1"/>
  <c r="T80" i="1"/>
  <c r="AA80" i="1"/>
  <c r="AK80" i="1" s="1"/>
  <c r="AB80" i="1"/>
  <c r="AP80" i="1" s="1"/>
  <c r="AC80" i="1"/>
  <c r="AD80" i="1"/>
  <c r="AR80" i="1" s="1"/>
  <c r="AX80" i="1"/>
  <c r="BJ80" i="1" s="1"/>
  <c r="N81" i="1"/>
  <c r="O81" i="1" s="1"/>
  <c r="Q81" i="1"/>
  <c r="R81" i="1"/>
  <c r="AE81" i="1" s="1"/>
  <c r="S81" i="1"/>
  <c r="T81" i="1"/>
  <c r="AA81" i="1"/>
  <c r="AB81" i="1"/>
  <c r="AC81" i="1"/>
  <c r="AQ81" i="1" s="1"/>
  <c r="AD81" i="1"/>
  <c r="AR81" i="1" s="1"/>
  <c r="N82" i="1"/>
  <c r="O82" i="1" s="1"/>
  <c r="Q82" i="1"/>
  <c r="R82" i="1"/>
  <c r="AE82" i="1" s="1"/>
  <c r="S82" i="1"/>
  <c r="T82" i="1"/>
  <c r="AA82" i="1"/>
  <c r="AI82" i="1" s="1"/>
  <c r="AB82" i="1"/>
  <c r="BW82" i="1" s="1"/>
  <c r="AC82" i="1"/>
  <c r="AZ82" i="1" s="1"/>
  <c r="BL82" i="1" s="1"/>
  <c r="AD82" i="1"/>
  <c r="AR82" i="1" s="1"/>
  <c r="N83" i="1"/>
  <c r="O83" i="1"/>
  <c r="Q83" i="1"/>
  <c r="R83" i="1"/>
  <c r="AE83" i="1" s="1"/>
  <c r="AS83" i="1" s="1"/>
  <c r="S83" i="1"/>
  <c r="T83" i="1"/>
  <c r="AA83" i="1"/>
  <c r="AJ83" i="1" s="1"/>
  <c r="AB83" i="1"/>
  <c r="AY83" i="1" s="1"/>
  <c r="BK83" i="1" s="1"/>
  <c r="AC83" i="1"/>
  <c r="AQ83" i="1" s="1"/>
  <c r="AZ83" i="1"/>
  <c r="BL83" i="1" s="1"/>
  <c r="N84" i="1"/>
  <c r="O84" i="1" s="1"/>
  <c r="Q84" i="1"/>
  <c r="R84" i="1"/>
  <c r="AE84" i="1" s="1"/>
  <c r="BB84" i="1" s="1"/>
  <c r="BN84" i="1" s="1"/>
  <c r="S84" i="1"/>
  <c r="T84" i="1"/>
  <c r="AA84" i="1"/>
  <c r="AK84" i="1" s="1"/>
  <c r="AB84" i="1"/>
  <c r="AY84" i="1" s="1"/>
  <c r="BK84" i="1" s="1"/>
  <c r="AC84" i="1"/>
  <c r="AQ84" i="1" s="1"/>
  <c r="AD84" i="1"/>
  <c r="L86" i="1"/>
  <c r="U86" i="1"/>
  <c r="AX64" i="1" l="1"/>
  <c r="BJ64" i="1" s="1"/>
  <c r="AG64" i="1"/>
  <c r="AY63" i="1"/>
  <c r="BK63" i="1" s="1"/>
  <c r="AK30" i="1"/>
  <c r="BW20" i="1"/>
  <c r="AL17" i="1"/>
  <c r="BI17" i="1" s="1"/>
  <c r="BU17" i="1" s="1"/>
  <c r="AO15" i="1"/>
  <c r="AK5" i="1"/>
  <c r="AL73" i="1"/>
  <c r="AV73" i="1" s="1"/>
  <c r="AL58" i="1"/>
  <c r="BI58" i="1" s="1"/>
  <c r="BU58" i="1" s="1"/>
  <c r="BV39" i="1"/>
  <c r="AH19" i="1"/>
  <c r="AY11" i="1"/>
  <c r="BK11" i="1" s="1"/>
  <c r="AO10" i="1"/>
  <c r="AP79" i="1"/>
  <c r="AH75" i="1"/>
  <c r="AY72" i="1"/>
  <c r="BK72" i="1" s="1"/>
  <c r="BV58" i="1"/>
  <c r="AK58" i="1"/>
  <c r="CF58" i="1" s="1"/>
  <c r="BY51" i="1"/>
  <c r="BB43" i="1"/>
  <c r="BN43" i="1" s="1"/>
  <c r="BW34" i="1"/>
  <c r="BV31" i="1"/>
  <c r="AK31" i="1"/>
  <c r="CF31" i="1" s="1"/>
  <c r="AH31" i="1"/>
  <c r="CC31" i="1" s="1"/>
  <c r="AY29" i="1"/>
  <c r="BK29" i="1" s="1"/>
  <c r="BV28" i="1"/>
  <c r="AO26" i="1"/>
  <c r="AP20" i="1"/>
  <c r="BB17" i="1"/>
  <c r="BN17" i="1" s="1"/>
  <c r="BW14" i="1"/>
  <c r="AR13" i="1"/>
  <c r="AO12" i="1"/>
  <c r="BY6" i="1"/>
  <c r="BX62" i="1"/>
  <c r="AO39" i="1"/>
  <c r="AP34" i="1"/>
  <c r="AJ31" i="1"/>
  <c r="BV21" i="1"/>
  <c r="BX13" i="1"/>
  <c r="AL10" i="1"/>
  <c r="BI10" i="1" s="1"/>
  <c r="BU10" i="1" s="1"/>
  <c r="AI8" i="1"/>
  <c r="BA80" i="1"/>
  <c r="BM80" i="1" s="1"/>
  <c r="AX73" i="1"/>
  <c r="BJ73" i="1" s="1"/>
  <c r="AX58" i="1"/>
  <c r="BJ58" i="1" s="1"/>
  <c r="BA48" i="1"/>
  <c r="BM48" i="1" s="1"/>
  <c r="AI39" i="1"/>
  <c r="AT39" i="1" s="1"/>
  <c r="AL31" i="1"/>
  <c r="BI31" i="1" s="1"/>
  <c r="BU31" i="1" s="1"/>
  <c r="AG31" i="1"/>
  <c r="CB31" i="1" s="1"/>
  <c r="BV30" i="1"/>
  <c r="AO17" i="1"/>
  <c r="AP16" i="1"/>
  <c r="BY11" i="1"/>
  <c r="AX10" i="1"/>
  <c r="BJ10" i="1" s="1"/>
  <c r="AJ10" i="1"/>
  <c r="AU10" i="1" s="1"/>
  <c r="BA6" i="1"/>
  <c r="BM6" i="1" s="1"/>
  <c r="BY5" i="1"/>
  <c r="AN5" i="1"/>
  <c r="BX71" i="1"/>
  <c r="AR47" i="1"/>
  <c r="AX43" i="1"/>
  <c r="BJ43" i="1" s="1"/>
  <c r="AJ17" i="1"/>
  <c r="BV80" i="1"/>
  <c r="BW79" i="1"/>
  <c r="BC78" i="1"/>
  <c r="AO64" i="1"/>
  <c r="AQ62" i="1"/>
  <c r="BW43" i="1"/>
  <c r="AN39" i="1"/>
  <c r="AO31" i="1"/>
  <c r="CD30" i="1"/>
  <c r="AJ26" i="1"/>
  <c r="AX17" i="1"/>
  <c r="BJ17" i="1" s="1"/>
  <c r="BW16" i="1"/>
  <c r="AN15" i="1"/>
  <c r="BV10" i="1"/>
  <c r="AK10" i="1"/>
  <c r="BH10" i="1" s="1"/>
  <c r="BT10" i="1" s="1"/>
  <c r="BY9" i="1"/>
  <c r="AX5" i="1"/>
  <c r="BJ5" i="1" s="1"/>
  <c r="AG5" i="1"/>
  <c r="AS10" i="1"/>
  <c r="AG44" i="1"/>
  <c r="AH81" i="1"/>
  <c r="BQ81" i="1" s="1"/>
  <c r="BZ43" i="1"/>
  <c r="BF31" i="1"/>
  <c r="BR31" i="1" s="1"/>
  <c r="AT31" i="1"/>
  <c r="BY45" i="1"/>
  <c r="BV43" i="1"/>
  <c r="AD43" i="1"/>
  <c r="AM43" i="1" s="1"/>
  <c r="AH43" i="1"/>
  <c r="AP29" i="1"/>
  <c r="BX23" i="1"/>
  <c r="BX20" i="1"/>
  <c r="AQ20" i="1"/>
  <c r="BV19" i="1"/>
  <c r="BW84" i="1"/>
  <c r="AG84" i="1"/>
  <c r="CB84" i="1" s="1"/>
  <c r="AG83" i="1"/>
  <c r="BP83" i="1" s="1"/>
  <c r="AR69" i="1"/>
  <c r="AQ57" i="1"/>
  <c r="AN56" i="1"/>
  <c r="AJ55" i="1"/>
  <c r="BW49" i="1"/>
  <c r="AJ47" i="1"/>
  <c r="BG47" i="1" s="1"/>
  <c r="BS47" i="1" s="1"/>
  <c r="AH44" i="1"/>
  <c r="CC44" i="1" s="1"/>
  <c r="AX39" i="1"/>
  <c r="BJ39" i="1" s="1"/>
  <c r="AL39" i="1"/>
  <c r="BI39" i="1" s="1"/>
  <c r="BU39" i="1" s="1"/>
  <c r="AG39" i="1"/>
  <c r="BP39" i="1" s="1"/>
  <c r="BW37" i="1"/>
  <c r="AX30" i="1"/>
  <c r="BJ30" i="1" s="1"/>
  <c r="AZ24" i="1"/>
  <c r="BL24" i="1" s="1"/>
  <c r="AZ23" i="1"/>
  <c r="BL23" i="1" s="1"/>
  <c r="AX19" i="1"/>
  <c r="BJ19" i="1" s="1"/>
  <c r="BZ17" i="1"/>
  <c r="AH9" i="1"/>
  <c r="BQ9" i="1" s="1"/>
  <c r="AG6" i="1"/>
  <c r="BD6" i="1" s="1"/>
  <c r="AP84" i="1"/>
  <c r="BX57" i="1"/>
  <c r="AP49" i="1"/>
  <c r="AQ37" i="1"/>
  <c r="AI19" i="1"/>
  <c r="AT19" i="1" s="1"/>
  <c r="AP83" i="1"/>
  <c r="AN47" i="1"/>
  <c r="AP37" i="1"/>
  <c r="AQ28" i="1"/>
  <c r="AZ13" i="1"/>
  <c r="BL13" i="1" s="1"/>
  <c r="BW83" i="1"/>
  <c r="AH80" i="1"/>
  <c r="BE80" i="1" s="1"/>
  <c r="AP75" i="1"/>
  <c r="AZ71" i="1"/>
  <c r="BL71" i="1" s="1"/>
  <c r="AQ70" i="1"/>
  <c r="AH69" i="1"/>
  <c r="CC69" i="1" s="1"/>
  <c r="AR62" i="1"/>
  <c r="AH57" i="1"/>
  <c r="AI56" i="1"/>
  <c r="BF56" i="1" s="1"/>
  <c r="BR56" i="1" s="1"/>
  <c r="BZ54" i="1"/>
  <c r="AR52" i="1"/>
  <c r="BY48" i="1"/>
  <c r="AJ39" i="1"/>
  <c r="CE39" i="1" s="1"/>
  <c r="BV38" i="1"/>
  <c r="AX35" i="1"/>
  <c r="BJ35" i="1" s="1"/>
  <c r="AX31" i="1"/>
  <c r="BJ31" i="1" s="1"/>
  <c r="AN31" i="1"/>
  <c r="AL30" i="1"/>
  <c r="BI30" i="1" s="1"/>
  <c r="BU30" i="1" s="1"/>
  <c r="AI26" i="1"/>
  <c r="BF26" i="1" s="1"/>
  <c r="BR26" i="1" s="1"/>
  <c r="AQ24" i="1"/>
  <c r="BV17" i="1"/>
  <c r="AD17" i="1"/>
  <c r="AR17" i="1" s="1"/>
  <c r="BW8" i="1"/>
  <c r="AT16" i="1"/>
  <c r="BF16" i="1"/>
  <c r="BR16" i="1" s="1"/>
  <c r="AS33" i="1"/>
  <c r="BZ33" i="1"/>
  <c r="BB16" i="1"/>
  <c r="BN16" i="1" s="1"/>
  <c r="AS16" i="1"/>
  <c r="BA78" i="1"/>
  <c r="BM78" i="1" s="1"/>
  <c r="BY78" i="1"/>
  <c r="AK72" i="1"/>
  <c r="AI65" i="1"/>
  <c r="AT65" i="1" s="1"/>
  <c r="AO65" i="1"/>
  <c r="BX40" i="1"/>
  <c r="AQ40" i="1"/>
  <c r="AP33" i="1"/>
  <c r="AY33" i="1"/>
  <c r="BK33" i="1" s="1"/>
  <c r="AP30" i="1"/>
  <c r="AY30" i="1"/>
  <c r="BK30" i="1" s="1"/>
  <c r="AR23" i="1"/>
  <c r="BA23" i="1"/>
  <c r="BM23" i="1" s="1"/>
  <c r="AR12" i="1"/>
  <c r="BY12" i="1"/>
  <c r="AK6" i="1"/>
  <c r="BH6" i="1" s="1"/>
  <c r="BT6" i="1" s="1"/>
  <c r="AL6" i="1"/>
  <c r="AV6" i="1" s="1"/>
  <c r="BV6" i="1"/>
  <c r="AI6" i="1"/>
  <c r="AN6" i="1"/>
  <c r="AX6" i="1"/>
  <c r="BJ6" i="1" s="1"/>
  <c r="AQ63" i="1"/>
  <c r="BZ59" i="1"/>
  <c r="BB59" i="1"/>
  <c r="BN59" i="1" s="1"/>
  <c r="AY58" i="1"/>
  <c r="BK58" i="1" s="1"/>
  <c r="AQ48" i="1"/>
  <c r="BX48" i="1"/>
  <c r="AI42" i="1"/>
  <c r="AT42" i="1" s="1"/>
  <c r="AP38" i="1"/>
  <c r="AR77" i="1"/>
  <c r="BY77" i="1"/>
  <c r="AQ74" i="1"/>
  <c r="AI68" i="1"/>
  <c r="BF68" i="1" s="1"/>
  <c r="BR68" i="1" s="1"/>
  <c r="BV68" i="1"/>
  <c r="AQ82" i="1"/>
  <c r="BX82" i="1"/>
  <c r="AI78" i="1"/>
  <c r="CD78" i="1" s="1"/>
  <c r="AJ78" i="1"/>
  <c r="AK65" i="1"/>
  <c r="BH65" i="1" s="1"/>
  <c r="BT65" i="1" s="1"/>
  <c r="AP64" i="1"/>
  <c r="AY64" i="1"/>
  <c r="BK64" i="1" s="1"/>
  <c r="AR61" i="1"/>
  <c r="AI57" i="1"/>
  <c r="BF57" i="1" s="1"/>
  <c r="BR57" i="1" s="1"/>
  <c r="AX57" i="1"/>
  <c r="BJ57" i="1" s="1"/>
  <c r="AZ48" i="1"/>
  <c r="BL48" i="1" s="1"/>
  <c r="AH39" i="1"/>
  <c r="CC39" i="1" s="1"/>
  <c r="BX37" i="1"/>
  <c r="CD21" i="1"/>
  <c r="BF21" i="1"/>
  <c r="BR21" i="1" s="1"/>
  <c r="AF21" i="1"/>
  <c r="BC21" i="1" s="1"/>
  <c r="AK21" i="1"/>
  <c r="CF21" i="1" s="1"/>
  <c r="AX21" i="1"/>
  <c r="BJ21" i="1" s="1"/>
  <c r="AL21" i="1"/>
  <c r="CG21" i="1" s="1"/>
  <c r="AZ7" i="1"/>
  <c r="BL7" i="1" s="1"/>
  <c r="AQ7" i="1"/>
  <c r="BX7" i="1"/>
  <c r="AJ6" i="1"/>
  <c r="AU6" i="1" s="1"/>
  <c r="BY74" i="1"/>
  <c r="BA74" i="1"/>
  <c r="BM74" i="1" s="1"/>
  <c r="AF72" i="1"/>
  <c r="BC72" i="1" s="1"/>
  <c r="AO72" i="1"/>
  <c r="AX72" i="1"/>
  <c r="BJ72" i="1" s="1"/>
  <c r="AF61" i="1"/>
  <c r="BO61" i="1" s="1"/>
  <c r="AK61" i="1"/>
  <c r="AN61" i="1"/>
  <c r="AP50" i="1"/>
  <c r="AY50" i="1"/>
  <c r="BK50" i="1" s="1"/>
  <c r="AP76" i="1"/>
  <c r="AS76" i="1"/>
  <c r="BB76" i="1"/>
  <c r="BN76" i="1" s="1"/>
  <c r="AZ75" i="1"/>
  <c r="BL75" i="1" s="1"/>
  <c r="AR74" i="1"/>
  <c r="AM53" i="1"/>
  <c r="AQ53" i="1"/>
  <c r="AF50" i="1"/>
  <c r="BC50" i="1" s="1"/>
  <c r="AX50" i="1"/>
  <c r="BJ50" i="1" s="1"/>
  <c r="AL42" i="1"/>
  <c r="AV42" i="1" s="1"/>
  <c r="AK42" i="1"/>
  <c r="BH42" i="1" s="1"/>
  <c r="BT42" i="1" s="1"/>
  <c r="AO42" i="1"/>
  <c r="BV42" i="1"/>
  <c r="AZ40" i="1"/>
  <c r="BL40" i="1" s="1"/>
  <c r="BA39" i="1"/>
  <c r="BM39" i="1" s="1"/>
  <c r="AR39" i="1"/>
  <c r="AY24" i="1"/>
  <c r="BK24" i="1" s="1"/>
  <c r="BW24" i="1"/>
  <c r="AP24" i="1"/>
  <c r="AO16" i="1"/>
  <c r="AK16" i="1"/>
  <c r="CF16" i="1" s="1"/>
  <c r="AX16" i="1"/>
  <c r="BJ16" i="1" s="1"/>
  <c r="AD16" i="1"/>
  <c r="BA16" i="1" s="1"/>
  <c r="BM16" i="1" s="1"/>
  <c r="AL16" i="1"/>
  <c r="BI16" i="1" s="1"/>
  <c r="BU16" i="1" s="1"/>
  <c r="BV16" i="1"/>
  <c r="AD83" i="1"/>
  <c r="BY83" i="1" s="1"/>
  <c r="AQ73" i="1"/>
  <c r="AZ73" i="1"/>
  <c r="BL73" i="1" s="1"/>
  <c r="BX63" i="1"/>
  <c r="AJ60" i="1"/>
  <c r="BG60" i="1" s="1"/>
  <c r="BS60" i="1" s="1"/>
  <c r="AN60" i="1"/>
  <c r="AO60" i="1"/>
  <c r="BX53" i="1"/>
  <c r="AZ39" i="1"/>
  <c r="BL39" i="1" s="1"/>
  <c r="BX39" i="1"/>
  <c r="BW38" i="1"/>
  <c r="BH31" i="1"/>
  <c r="BT31" i="1" s="1"/>
  <c r="AQ19" i="1"/>
  <c r="BX19" i="1"/>
  <c r="AS14" i="1"/>
  <c r="BB14" i="1"/>
  <c r="BN14" i="1" s="1"/>
  <c r="AP13" i="1"/>
  <c r="BW13" i="1"/>
  <c r="AO6" i="1"/>
  <c r="AZ15" i="1"/>
  <c r="BL15" i="1" s="1"/>
  <c r="BY80" i="1"/>
  <c r="BY59" i="1"/>
  <c r="BX52" i="1"/>
  <c r="AL43" i="1"/>
  <c r="AR36" i="1"/>
  <c r="AO35" i="1"/>
  <c r="CD31" i="1"/>
  <c r="BA31" i="1"/>
  <c r="BM31" i="1" s="1"/>
  <c r="AK17" i="1"/>
  <c r="AX15" i="1"/>
  <c r="BJ15" i="1" s="1"/>
  <c r="AJ15" i="1"/>
  <c r="CE15" i="1" s="1"/>
  <c r="AK12" i="1"/>
  <c r="BW11" i="1"/>
  <c r="BB10" i="1"/>
  <c r="BN10" i="1" s="1"/>
  <c r="AZ8" i="1"/>
  <c r="BL8" i="1" s="1"/>
  <c r="AH6" i="1"/>
  <c r="BE6" i="1" s="1"/>
  <c r="BA5" i="1"/>
  <c r="BM5" i="1" s="1"/>
  <c r="AM13" i="1"/>
  <c r="BX15" i="1"/>
  <c r="BZ9" i="1"/>
  <c r="AS9" i="1"/>
  <c r="BB9" i="1"/>
  <c r="BN9" i="1" s="1"/>
  <c r="BZ72" i="1"/>
  <c r="BB72" i="1"/>
  <c r="BN72" i="1" s="1"/>
  <c r="AS72" i="1"/>
  <c r="BB50" i="1"/>
  <c r="BN50" i="1" s="1"/>
  <c r="AS50" i="1"/>
  <c r="BZ50" i="1"/>
  <c r="AF82" i="1"/>
  <c r="BC82" i="1" s="1"/>
  <c r="AM82" i="1"/>
  <c r="BW80" i="1"/>
  <c r="BX67" i="1"/>
  <c r="BW48" i="1"/>
  <c r="AP36" i="1"/>
  <c r="BW36" i="1"/>
  <c r="AP32" i="1"/>
  <c r="AY32" i="1"/>
  <c r="BK32" i="1" s="1"/>
  <c r="AL22" i="1"/>
  <c r="CG22" i="1" s="1"/>
  <c r="AI22" i="1"/>
  <c r="AN22" i="1"/>
  <c r="AX22" i="1"/>
  <c r="BJ22" i="1" s="1"/>
  <c r="AR15" i="1"/>
  <c r="BA15" i="1"/>
  <c r="BM15" i="1" s="1"/>
  <c r="BY15" i="1"/>
  <c r="AG15" i="1"/>
  <c r="CB15" i="1" s="1"/>
  <c r="AH15" i="1"/>
  <c r="BE15" i="1" s="1"/>
  <c r="AG14" i="1"/>
  <c r="BD14" i="1" s="1"/>
  <c r="AH14" i="1"/>
  <c r="AL8" i="1"/>
  <c r="BI8" i="1" s="1"/>
  <c r="BU8" i="1" s="1"/>
  <c r="AD8" i="1"/>
  <c r="BY8" i="1" s="1"/>
  <c r="AN7" i="1"/>
  <c r="AJ7" i="1"/>
  <c r="BG7" i="1" s="1"/>
  <c r="BS7" i="1" s="1"/>
  <c r="BV76" i="1"/>
  <c r="AO76" i="1"/>
  <c r="AH76" i="1"/>
  <c r="BQ76" i="1" s="1"/>
  <c r="AK73" i="1"/>
  <c r="AO69" i="1"/>
  <c r="AQ67" i="1"/>
  <c r="AR66" i="1"/>
  <c r="BA65" i="1"/>
  <c r="BM65" i="1" s="1"/>
  <c r="BV57" i="1"/>
  <c r="AG57" i="1"/>
  <c r="BD57" i="1" s="1"/>
  <c r="AQ52" i="1"/>
  <c r="AL51" i="1"/>
  <c r="CG51" i="1" s="1"/>
  <c r="AG51" i="1"/>
  <c r="BP51" i="1" s="1"/>
  <c r="AS44" i="1"/>
  <c r="AI32" i="1"/>
  <c r="AT32" i="1" s="1"/>
  <c r="AN32" i="1"/>
  <c r="BV22" i="1"/>
  <c r="AO22" i="1"/>
  <c r="AG22" i="1"/>
  <c r="CB22" i="1" s="1"/>
  <c r="AH22" i="1"/>
  <c r="CD17" i="1"/>
  <c r="BF17" i="1"/>
  <c r="BR17" i="1" s="1"/>
  <c r="AZ14" i="1"/>
  <c r="BL14" i="1" s="1"/>
  <c r="AQ14" i="1"/>
  <c r="AR11" i="1"/>
  <c r="AZ11" i="1"/>
  <c r="BL11" i="1" s="1"/>
  <c r="BX11" i="1"/>
  <c r="BF10" i="1"/>
  <c r="BR10" i="1" s="1"/>
  <c r="AT10" i="1"/>
  <c r="CD10" i="1"/>
  <c r="AY9" i="1"/>
  <c r="BK9" i="1" s="1"/>
  <c r="AI9" i="1"/>
  <c r="CD9" i="1" s="1"/>
  <c r="AK9" i="1"/>
  <c r="CF9" i="1" s="1"/>
  <c r="BV9" i="1"/>
  <c r="AM9" i="1"/>
  <c r="AX9" i="1"/>
  <c r="BJ9" i="1" s="1"/>
  <c r="BY7" i="1"/>
  <c r="BA7" i="1"/>
  <c r="BM7" i="1" s="1"/>
  <c r="BX83" i="1"/>
  <c r="BV81" i="1"/>
  <c r="AO81" i="1"/>
  <c r="AG81" i="1"/>
  <c r="AO80" i="1"/>
  <c r="BX78" i="1"/>
  <c r="AZ78" i="1"/>
  <c r="BL78" i="1" s="1"/>
  <c r="BA77" i="1"/>
  <c r="BM77" i="1" s="1"/>
  <c r="CD76" i="1"/>
  <c r="AX76" i="1"/>
  <c r="BJ76" i="1" s="1"/>
  <c r="AL76" i="1"/>
  <c r="CG76" i="1" s="1"/>
  <c r="BX75" i="1"/>
  <c r="AZ74" i="1"/>
  <c r="BL74" i="1" s="1"/>
  <c r="BV73" i="1"/>
  <c r="AO73" i="1"/>
  <c r="AJ73" i="1"/>
  <c r="AU73" i="1" s="1"/>
  <c r="BY72" i="1"/>
  <c r="AR70" i="1"/>
  <c r="BA69" i="1"/>
  <c r="BM69" i="1" s="1"/>
  <c r="AK69" i="1"/>
  <c r="BH69" i="1" s="1"/>
  <c r="BT69" i="1" s="1"/>
  <c r="BY68" i="1"/>
  <c r="BA68" i="1"/>
  <c r="BM68" i="1" s="1"/>
  <c r="AP67" i="1"/>
  <c r="AQ66" i="1"/>
  <c r="BY65" i="1"/>
  <c r="BV64" i="1"/>
  <c r="AL64" i="1"/>
  <c r="BI64" i="1" s="1"/>
  <c r="BU64" i="1" s="1"/>
  <c r="AZ61" i="1"/>
  <c r="BL61" i="1" s="1"/>
  <c r="AZ60" i="1"/>
  <c r="BL60" i="1" s="1"/>
  <c r="AR59" i="1"/>
  <c r="BW58" i="1"/>
  <c r="AM58" i="1"/>
  <c r="AL57" i="1"/>
  <c r="AV57" i="1" s="1"/>
  <c r="AZ56" i="1"/>
  <c r="BL56" i="1" s="1"/>
  <c r="BW54" i="1"/>
  <c r="BA51" i="1"/>
  <c r="BM51" i="1" s="1"/>
  <c r="AJ51" i="1"/>
  <c r="BG51" i="1" s="1"/>
  <c r="BS51" i="1" s="1"/>
  <c r="AG47" i="1"/>
  <c r="CB47" i="1" s="1"/>
  <c r="AH47" i="1"/>
  <c r="BQ47" i="1" s="1"/>
  <c r="BW46" i="1"/>
  <c r="AJ45" i="1"/>
  <c r="BG45" i="1" s="1"/>
  <c r="BS45" i="1" s="1"/>
  <c r="BZ44" i="1"/>
  <c r="AL44" i="1"/>
  <c r="BI44" i="1" s="1"/>
  <c r="BU44" i="1" s="1"/>
  <c r="BX41" i="1"/>
  <c r="AI33" i="1"/>
  <c r="AT33" i="1" s="1"/>
  <c r="AL33" i="1"/>
  <c r="AV33" i="1" s="1"/>
  <c r="BV33" i="1"/>
  <c r="AR27" i="1"/>
  <c r="BA27" i="1"/>
  <c r="BM27" i="1" s="1"/>
  <c r="BB25" i="1"/>
  <c r="BN25" i="1" s="1"/>
  <c r="BW23" i="1"/>
  <c r="AK22" i="1"/>
  <c r="CF22" i="1" s="1"/>
  <c r="AX20" i="1"/>
  <c r="BJ20" i="1" s="1"/>
  <c r="AI20" i="1"/>
  <c r="AL20" i="1"/>
  <c r="AV20" i="1" s="1"/>
  <c r="BV20" i="1"/>
  <c r="AJ19" i="1"/>
  <c r="CE19" i="1" s="1"/>
  <c r="AD19" i="1"/>
  <c r="AL19" i="1"/>
  <c r="AV19" i="1" s="1"/>
  <c r="AG17" i="1"/>
  <c r="BD17" i="1" s="1"/>
  <c r="AH17" i="1"/>
  <c r="CC17" i="1" s="1"/>
  <c r="AG16" i="1"/>
  <c r="BD16" i="1" s="1"/>
  <c r="AH16" i="1"/>
  <c r="AJ13" i="1"/>
  <c r="BG13" i="1" s="1"/>
  <c r="BS13" i="1" s="1"/>
  <c r="BA12" i="1"/>
  <c r="BM12" i="1" s="1"/>
  <c r="AQ11" i="1"/>
  <c r="AY8" i="1"/>
  <c r="BK8" i="1" s="1"/>
  <c r="AR7" i="1"/>
  <c r="AQ6" i="1"/>
  <c r="AZ6" i="1"/>
  <c r="BL6" i="1" s="1"/>
  <c r="AJ81" i="1"/>
  <c r="AU81" i="1" s="1"/>
  <c r="BX61" i="1"/>
  <c r="AQ46" i="1"/>
  <c r="AL29" i="1"/>
  <c r="BI29" i="1" s="1"/>
  <c r="BU29" i="1" s="1"/>
  <c r="AK29" i="1"/>
  <c r="CF29" i="1" s="1"/>
  <c r="AM29" i="1"/>
  <c r="AX81" i="1"/>
  <c r="BJ81" i="1" s="1"/>
  <c r="AF81" i="1"/>
  <c r="BC81" i="1" s="1"/>
  <c r="BY60" i="1"/>
  <c r="AM57" i="1"/>
  <c r="BX46" i="1"/>
  <c r="AM46" i="1"/>
  <c r="AL45" i="1"/>
  <c r="BI45" i="1" s="1"/>
  <c r="BU45" i="1" s="1"/>
  <c r="AG45" i="1"/>
  <c r="BD45" i="1" s="1"/>
  <c r="AL81" i="1"/>
  <c r="AV81" i="1" s="1"/>
  <c r="AO77" i="1"/>
  <c r="AT76" i="1"/>
  <c r="AK76" i="1"/>
  <c r="BH76" i="1" s="1"/>
  <c r="BT76" i="1" s="1"/>
  <c r="AM75" i="1"/>
  <c r="AN73" i="1"/>
  <c r="BW72" i="1"/>
  <c r="AI69" i="1"/>
  <c r="AT69" i="1" s="1"/>
  <c r="BW68" i="1"/>
  <c r="AH65" i="1"/>
  <c r="AN62" i="1"/>
  <c r="AQ60" i="1"/>
  <c r="BX56" i="1"/>
  <c r="AS54" i="1"/>
  <c r="BY52" i="1"/>
  <c r="AH51" i="1"/>
  <c r="CC51" i="1" s="1"/>
  <c r="AO47" i="1"/>
  <c r="AF47" i="1"/>
  <c r="BC47" i="1" s="1"/>
  <c r="AX45" i="1"/>
  <c r="BJ45" i="1" s="1"/>
  <c r="AH45" i="1"/>
  <c r="CC45" i="1" s="1"/>
  <c r="BY44" i="1"/>
  <c r="BA44" i="1"/>
  <c r="BM44" i="1" s="1"/>
  <c r="AQ41" i="1"/>
  <c r="BV37" i="1"/>
  <c r="AK35" i="1"/>
  <c r="BH35" i="1" s="1"/>
  <c r="BT35" i="1" s="1"/>
  <c r="AJ35" i="1"/>
  <c r="BG35" i="1" s="1"/>
  <c r="BS35" i="1" s="1"/>
  <c r="AN35" i="1"/>
  <c r="CG31" i="1"/>
  <c r="AQ31" i="1"/>
  <c r="AZ31" i="1"/>
  <c r="BL31" i="1" s="1"/>
  <c r="AG30" i="1"/>
  <c r="BD30" i="1" s="1"/>
  <c r="AH30" i="1"/>
  <c r="CC30" i="1" s="1"/>
  <c r="AK26" i="1"/>
  <c r="BV26" i="1"/>
  <c r="AD26" i="1"/>
  <c r="AM26" i="1" s="1"/>
  <c r="AW26" i="1" s="1"/>
  <c r="AL26" i="1"/>
  <c r="AX26" i="1"/>
  <c r="BJ26" i="1" s="1"/>
  <c r="AO25" i="1"/>
  <c r="BW25" i="1"/>
  <c r="AP25" i="1"/>
  <c r="AY25" i="1"/>
  <c r="BK25" i="1" s="1"/>
  <c r="BA22" i="1"/>
  <c r="BM22" i="1" s="1"/>
  <c r="AJ22" i="1"/>
  <c r="BG22" i="1" s="1"/>
  <c r="BS22" i="1" s="1"/>
  <c r="AG18" i="1"/>
  <c r="CB18" i="1" s="1"/>
  <c r="CH18" i="1" s="1"/>
  <c r="AT17" i="1"/>
  <c r="CD16" i="1"/>
  <c r="AK15" i="1"/>
  <c r="BH15" i="1" s="1"/>
  <c r="BT15" i="1" s="1"/>
  <c r="AL15" i="1"/>
  <c r="BI15" i="1" s="1"/>
  <c r="BU15" i="1" s="1"/>
  <c r="AP9" i="1"/>
  <c r="AX8" i="1"/>
  <c r="BJ8" i="1" s="1"/>
  <c r="AG43" i="1"/>
  <c r="CB43" i="1" s="1"/>
  <c r="AL38" i="1"/>
  <c r="AV38" i="1" s="1"/>
  <c r="BW33" i="1"/>
  <c r="AO30" i="1"/>
  <c r="BX26" i="1"/>
  <c r="AG26" i="1"/>
  <c r="AG19" i="1"/>
  <c r="AN17" i="1"/>
  <c r="BZ14" i="1"/>
  <c r="AG13" i="1"/>
  <c r="BD13" i="1" s="1"/>
  <c r="AO11" i="1"/>
  <c r="AN10" i="1"/>
  <c r="AG8" i="1"/>
  <c r="CB8" i="1" s="1"/>
  <c r="AH12" i="1"/>
  <c r="BQ12" i="1" s="1"/>
  <c r="CF59" i="1"/>
  <c r="BH59" i="1"/>
  <c r="BT59" i="1" s="1"/>
  <c r="BE81" i="1"/>
  <c r="AV77" i="1"/>
  <c r="BI77" i="1"/>
  <c r="BU77" i="1" s="1"/>
  <c r="CG77" i="1"/>
  <c r="BG83" i="1"/>
  <c r="BS83" i="1" s="1"/>
  <c r="CE83" i="1"/>
  <c r="AU83" i="1"/>
  <c r="AR84" i="1"/>
  <c r="BA84" i="1"/>
  <c r="BM84" i="1" s="1"/>
  <c r="AX83" i="1"/>
  <c r="BJ83" i="1" s="1"/>
  <c r="AN83" i="1"/>
  <c r="AP82" i="1"/>
  <c r="AY82" i="1"/>
  <c r="BK82" i="1" s="1"/>
  <c r="BZ80" i="1"/>
  <c r="BB80" i="1"/>
  <c r="BN80" i="1" s="1"/>
  <c r="AF80" i="1"/>
  <c r="CA80" i="1" s="1"/>
  <c r="AI80" i="1"/>
  <c r="AG80" i="1"/>
  <c r="BD80" i="1" s="1"/>
  <c r="AL80" i="1"/>
  <c r="CG80" i="1" s="1"/>
  <c r="AR78" i="1"/>
  <c r="AG77" i="1"/>
  <c r="BW75" i="1"/>
  <c r="BY73" i="1"/>
  <c r="BA73" i="1"/>
  <c r="BM73" i="1" s="1"/>
  <c r="BW67" i="1"/>
  <c r="BW64" i="1"/>
  <c r="AT64" i="1"/>
  <c r="BF64" i="1"/>
  <c r="BR64" i="1" s="1"/>
  <c r="CD64" i="1"/>
  <c r="BV59" i="1"/>
  <c r="AR58" i="1"/>
  <c r="BY58" i="1"/>
  <c r="AG58" i="1"/>
  <c r="BD58" i="1" s="1"/>
  <c r="AH58" i="1"/>
  <c r="CC58" i="1" s="1"/>
  <c r="BW57" i="1"/>
  <c r="AY57" i="1"/>
  <c r="BK57" i="1" s="1"/>
  <c r="AP57" i="1"/>
  <c r="AS57" i="1"/>
  <c r="BZ57" i="1"/>
  <c r="AT51" i="1"/>
  <c r="CD51" i="1"/>
  <c r="BF51" i="1"/>
  <c r="BR51" i="1" s="1"/>
  <c r="AZ49" i="1"/>
  <c r="BL49" i="1" s="1"/>
  <c r="BX49" i="1"/>
  <c r="BA47" i="1"/>
  <c r="BM47" i="1" s="1"/>
  <c r="AS79" i="1"/>
  <c r="BB79" i="1"/>
  <c r="BN79" i="1" s="1"/>
  <c r="BV79" i="1"/>
  <c r="AL79" i="1"/>
  <c r="CG79" i="1" s="1"/>
  <c r="AK77" i="1"/>
  <c r="AI77" i="1"/>
  <c r="AN77" i="1"/>
  <c r="AQ69" i="1"/>
  <c r="AZ69" i="1"/>
  <c r="BL69" i="1" s="1"/>
  <c r="BX69" i="1"/>
  <c r="AQ65" i="1"/>
  <c r="AZ65" i="1"/>
  <c r="BL65" i="1" s="1"/>
  <c r="BX65" i="1"/>
  <c r="AG54" i="1"/>
  <c r="CB54" i="1" s="1"/>
  <c r="AL54" i="1"/>
  <c r="BI54" i="1" s="1"/>
  <c r="BU54" i="1" s="1"/>
  <c r="BV54" i="1"/>
  <c r="AH54" i="1"/>
  <c r="AO54" i="1"/>
  <c r="AX54" i="1"/>
  <c r="BJ54" i="1" s="1"/>
  <c r="AD54" i="1"/>
  <c r="AI54" i="1"/>
  <c r="AJ48" i="1"/>
  <c r="AM48" i="1"/>
  <c r="BA46" i="1"/>
  <c r="BM46" i="1" s="1"/>
  <c r="AR46" i="1"/>
  <c r="CD45" i="1"/>
  <c r="BF45" i="1"/>
  <c r="BR45" i="1" s="1"/>
  <c r="BV84" i="1"/>
  <c r="BZ83" i="1"/>
  <c r="BD83" i="1"/>
  <c r="AK81" i="1"/>
  <c r="BH81" i="1" s="1"/>
  <c r="BT81" i="1" s="1"/>
  <c r="AI81" i="1"/>
  <c r="AN81" i="1"/>
  <c r="AQ79" i="1"/>
  <c r="BX79" i="1"/>
  <c r="BV77" i="1"/>
  <c r="AX77" i="1"/>
  <c r="BJ77" i="1" s="1"/>
  <c r="AJ77" i="1"/>
  <c r="CE77" i="1" s="1"/>
  <c r="AQ77" i="1"/>
  <c r="AZ77" i="1"/>
  <c r="BL77" i="1" s="1"/>
  <c r="BX77" i="1"/>
  <c r="AG76" i="1"/>
  <c r="BP76" i="1" s="1"/>
  <c r="AS75" i="1"/>
  <c r="BB75" i="1"/>
  <c r="BN75" i="1" s="1"/>
  <c r="BF73" i="1"/>
  <c r="BR73" i="1" s="1"/>
  <c r="CD73" i="1"/>
  <c r="AY71" i="1"/>
  <c r="BK71" i="1" s="1"/>
  <c r="BW71" i="1"/>
  <c r="BX70" i="1"/>
  <c r="BB68" i="1"/>
  <c r="BN68" i="1" s="1"/>
  <c r="AS68" i="1"/>
  <c r="BZ68" i="1"/>
  <c r="AF68" i="1"/>
  <c r="AJ68" i="1"/>
  <c r="AO68" i="1"/>
  <c r="AG68" i="1"/>
  <c r="BD68" i="1" s="1"/>
  <c r="AK68" i="1"/>
  <c r="CF68" i="1" s="1"/>
  <c r="AX68" i="1"/>
  <c r="BJ68" i="1" s="1"/>
  <c r="AH68" i="1"/>
  <c r="AL68" i="1"/>
  <c r="AS67" i="1"/>
  <c r="BZ67" i="1"/>
  <c r="BX66" i="1"/>
  <c r="AX59" i="1"/>
  <c r="BJ59" i="1" s="1"/>
  <c r="BV55" i="1"/>
  <c r="BI51" i="1"/>
  <c r="BU51" i="1" s="1"/>
  <c r="AV51" i="1"/>
  <c r="CD42" i="1"/>
  <c r="AR40" i="1"/>
  <c r="BY40" i="1"/>
  <c r="AP78" i="1"/>
  <c r="AY78" i="1"/>
  <c r="BK78" i="1" s="1"/>
  <c r="AG73" i="1"/>
  <c r="AH73" i="1"/>
  <c r="AS64" i="1"/>
  <c r="BB64" i="1"/>
  <c r="BN64" i="1" s="1"/>
  <c r="BZ64" i="1"/>
  <c r="AP60" i="1"/>
  <c r="BW60" i="1"/>
  <c r="AY60" i="1"/>
  <c r="BK60" i="1" s="1"/>
  <c r="BF58" i="1"/>
  <c r="BR58" i="1" s="1"/>
  <c r="CD58" i="1"/>
  <c r="AR56" i="1"/>
  <c r="BY56" i="1"/>
  <c r="AG55" i="1"/>
  <c r="AK55" i="1"/>
  <c r="AH55" i="1"/>
  <c r="AL55" i="1"/>
  <c r="AD55" i="1"/>
  <c r="AF55" i="1" s="1"/>
  <c r="AI55" i="1"/>
  <c r="AN55" i="1"/>
  <c r="AP53" i="1"/>
  <c r="BW53" i="1"/>
  <c r="AI83" i="1"/>
  <c r="CD83" i="1" s="1"/>
  <c r="BV83" i="1"/>
  <c r="BY82" i="1"/>
  <c r="BA82" i="1"/>
  <c r="BM82" i="1" s="1"/>
  <c r="BI81" i="1"/>
  <c r="BU81" i="1" s="1"/>
  <c r="BZ79" i="1"/>
  <c r="AI79" i="1"/>
  <c r="CD79" i="1" s="1"/>
  <c r="AH77" i="1"/>
  <c r="AR76" i="1"/>
  <c r="BA76" i="1"/>
  <c r="BM76" i="1" s="1"/>
  <c r="BY76" i="1"/>
  <c r="AH59" i="1"/>
  <c r="BQ59" i="1" s="1"/>
  <c r="AL59" i="1"/>
  <c r="CG59" i="1" s="1"/>
  <c r="AI59" i="1"/>
  <c r="AN59" i="1"/>
  <c r="AJ59" i="1"/>
  <c r="CE59" i="1" s="1"/>
  <c r="AO59" i="1"/>
  <c r="AT58" i="1"/>
  <c r="AS58" i="1"/>
  <c r="BB58" i="1"/>
  <c r="BN58" i="1" s="1"/>
  <c r="AU56" i="1"/>
  <c r="BG56" i="1"/>
  <c r="BS56" i="1" s="1"/>
  <c r="AO55" i="1"/>
  <c r="AT45" i="1"/>
  <c r="AM41" i="1"/>
  <c r="AH41" i="1"/>
  <c r="CC41" i="1" s="1"/>
  <c r="AX41" i="1"/>
  <c r="BJ41" i="1" s="1"/>
  <c r="AT35" i="1"/>
  <c r="CD35" i="1"/>
  <c r="BF35" i="1"/>
  <c r="BR35" i="1" s="1"/>
  <c r="AM79" i="1"/>
  <c r="AG79" i="1"/>
  <c r="BP79" i="1" s="1"/>
  <c r="AI72" i="1"/>
  <c r="AN69" i="1"/>
  <c r="AG69" i="1"/>
  <c r="AN66" i="1"/>
  <c r="AN65" i="1"/>
  <c r="AG65" i="1"/>
  <c r="BY61" i="1"/>
  <c r="AG59" i="1"/>
  <c r="BD59" i="1" s="1"/>
  <c r="AY54" i="1"/>
  <c r="BK54" i="1" s="1"/>
  <c r="AH53" i="1"/>
  <c r="CC53" i="1" s="1"/>
  <c r="BC52" i="1"/>
  <c r="AX51" i="1"/>
  <c r="BJ51" i="1" s="1"/>
  <c r="AK51" i="1"/>
  <c r="BV50" i="1"/>
  <c r="AI50" i="1"/>
  <c r="AY46" i="1"/>
  <c r="BK46" i="1" s="1"/>
  <c r="AJ46" i="1"/>
  <c r="BG46" i="1" s="1"/>
  <c r="BS46" i="1" s="1"/>
  <c r="BA45" i="1"/>
  <c r="BM45" i="1" s="1"/>
  <c r="AK45" i="1"/>
  <c r="BV44" i="1"/>
  <c r="AO44" i="1"/>
  <c r="AP44" i="1"/>
  <c r="AY44" i="1"/>
  <c r="BK44" i="1" s="1"/>
  <c r="BX43" i="1"/>
  <c r="AQ43" i="1"/>
  <c r="AZ32" i="1"/>
  <c r="BL32" i="1" s="1"/>
  <c r="BX32" i="1"/>
  <c r="AQ32" i="1"/>
  <c r="AY21" i="1"/>
  <c r="BK21" i="1" s="1"/>
  <c r="AP21" i="1"/>
  <c r="BW21" i="1"/>
  <c r="AS21" i="1"/>
  <c r="BB21" i="1"/>
  <c r="BN21" i="1" s="1"/>
  <c r="BZ21" i="1"/>
  <c r="AF44" i="1"/>
  <c r="BO44" i="1" s="1"/>
  <c r="AI44" i="1"/>
  <c r="BH39" i="1"/>
  <c r="BT39" i="1" s="1"/>
  <c r="CF39" i="1"/>
  <c r="AR35" i="1"/>
  <c r="BA35" i="1"/>
  <c r="BM35" i="1" s="1"/>
  <c r="AG35" i="1"/>
  <c r="AH35" i="1"/>
  <c r="BZ34" i="1"/>
  <c r="AS34" i="1"/>
  <c r="BB34" i="1"/>
  <c r="BN34" i="1" s="1"/>
  <c r="AF34" i="1"/>
  <c r="CA34" i="1" s="1"/>
  <c r="AI34" i="1"/>
  <c r="AK34" i="1"/>
  <c r="BH34" i="1" s="1"/>
  <c r="BT34" i="1" s="1"/>
  <c r="AL34" i="1"/>
  <c r="BV34" i="1"/>
  <c r="AG29" i="1"/>
  <c r="CB29" i="1" s="1"/>
  <c r="AH29" i="1"/>
  <c r="BQ29" i="1" s="1"/>
  <c r="BV24" i="1"/>
  <c r="AL24" i="1"/>
  <c r="BI24" i="1" s="1"/>
  <c r="BU24" i="1" s="1"/>
  <c r="AJ82" i="1"/>
  <c r="CE82" i="1" s="1"/>
  <c r="BY81" i="1"/>
  <c r="BA81" i="1"/>
  <c r="BM81" i="1" s="1"/>
  <c r="AY80" i="1"/>
  <c r="BK80" i="1" s="1"/>
  <c r="AH79" i="1"/>
  <c r="CC79" i="1" s="1"/>
  <c r="CG73" i="1"/>
  <c r="AL72" i="1"/>
  <c r="AG72" i="1"/>
  <c r="BD72" i="1" s="1"/>
  <c r="AJ69" i="1"/>
  <c r="AU69" i="1" s="1"/>
  <c r="AJ65" i="1"/>
  <c r="CE65" i="1" s="1"/>
  <c r="BY64" i="1"/>
  <c r="AK64" i="1"/>
  <c r="BH64" i="1" s="1"/>
  <c r="BT64" i="1" s="1"/>
  <c r="BA60" i="1"/>
  <c r="BM60" i="1" s="1"/>
  <c r="BX55" i="1"/>
  <c r="AZ55" i="1"/>
  <c r="BL55" i="1" s="1"/>
  <c r="BV51" i="1"/>
  <c r="AN51" i="1"/>
  <c r="AL50" i="1"/>
  <c r="BV49" i="1"/>
  <c r="AM49" i="1"/>
  <c r="BV45" i="1"/>
  <c r="AN45" i="1"/>
  <c r="AK44" i="1"/>
  <c r="CF44" i="1" s="1"/>
  <c r="AP42" i="1"/>
  <c r="AY42" i="1"/>
  <c r="BK42" i="1" s="1"/>
  <c r="BB42" i="1"/>
  <c r="BN42" i="1" s="1"/>
  <c r="BZ42" i="1"/>
  <c r="AY41" i="1"/>
  <c r="BK41" i="1" s="1"/>
  <c r="AP41" i="1"/>
  <c r="BW41" i="1"/>
  <c r="AS38" i="1"/>
  <c r="BB38" i="1"/>
  <c r="BN38" i="1" s="1"/>
  <c r="BZ38" i="1"/>
  <c r="AF38" i="1"/>
  <c r="BC38" i="1" s="1"/>
  <c r="AI38" i="1"/>
  <c r="AK38" i="1"/>
  <c r="CF38" i="1" s="1"/>
  <c r="AZ36" i="1"/>
  <c r="BL36" i="1" s="1"/>
  <c r="BX36" i="1"/>
  <c r="AQ36" i="1"/>
  <c r="AX34" i="1"/>
  <c r="BJ34" i="1" s="1"/>
  <c r="AQ33" i="1"/>
  <c r="AZ33" i="1"/>
  <c r="BL33" i="1" s="1"/>
  <c r="BP31" i="1"/>
  <c r="AT25" i="1"/>
  <c r="BF25" i="1"/>
  <c r="BR25" i="1" s="1"/>
  <c r="AM37" i="1"/>
  <c r="BV35" i="1"/>
  <c r="AL35" i="1"/>
  <c r="BB33" i="1"/>
  <c r="BN33" i="1" s="1"/>
  <c r="CA32" i="1"/>
  <c r="BC32" i="1"/>
  <c r="AR32" i="1"/>
  <c r="BF30" i="1"/>
  <c r="BR30" i="1" s="1"/>
  <c r="AR30" i="1"/>
  <c r="BA30" i="1"/>
  <c r="BM30" i="1" s="1"/>
  <c r="BV29" i="1"/>
  <c r="AI29" i="1"/>
  <c r="BX28" i="1"/>
  <c r="AH26" i="1"/>
  <c r="AX25" i="1"/>
  <c r="BJ25" i="1" s="1"/>
  <c r="AK25" i="1"/>
  <c r="BH25" i="1" s="1"/>
  <c r="BT25" i="1" s="1"/>
  <c r="BD22" i="1"/>
  <c r="BZ16" i="1"/>
  <c r="CD15" i="1"/>
  <c r="BF15" i="1"/>
  <c r="BR15" i="1" s="1"/>
  <c r="AU7" i="1"/>
  <c r="CE7" i="1"/>
  <c r="AT5" i="1"/>
  <c r="CD5" i="1"/>
  <c r="BY36" i="1"/>
  <c r="BY32" i="1"/>
  <c r="BX31" i="1"/>
  <c r="BW30" i="1"/>
  <c r="AO29" i="1"/>
  <c r="BV25" i="1"/>
  <c r="AS25" i="1"/>
  <c r="BF9" i="1"/>
  <c r="BR9" i="1" s="1"/>
  <c r="BF6" i="1"/>
  <c r="BR6" i="1" s="1"/>
  <c r="CD6" i="1"/>
  <c r="AT6" i="1"/>
  <c r="BG5" i="1"/>
  <c r="BS5" i="1" s="1"/>
  <c r="AU5" i="1"/>
  <c r="CE5" i="1"/>
  <c r="BE31" i="1"/>
  <c r="AS30" i="1"/>
  <c r="BZ30" i="1"/>
  <c r="AS29" i="1"/>
  <c r="BB29" i="1"/>
  <c r="BN29" i="1" s="1"/>
  <c r="BZ29" i="1"/>
  <c r="AZ27" i="1"/>
  <c r="BL27" i="1" s="1"/>
  <c r="BX27" i="1"/>
  <c r="AF25" i="1"/>
  <c r="BC25" i="1" s="1"/>
  <c r="AL25" i="1"/>
  <c r="AS20" i="1"/>
  <c r="BZ20" i="1"/>
  <c r="AS8" i="1"/>
  <c r="BB8" i="1"/>
  <c r="BN8" i="1" s="1"/>
  <c r="BF5" i="1"/>
  <c r="BR5" i="1" s="1"/>
  <c r="AZ19" i="1"/>
  <c r="BL19" i="1" s="1"/>
  <c r="AY13" i="1"/>
  <c r="BK13" i="1" s="1"/>
  <c r="AN12" i="1"/>
  <c r="AG12" i="1"/>
  <c r="AL9" i="1"/>
  <c r="CG9" i="1" s="1"/>
  <c r="AG9" i="1"/>
  <c r="BD9" i="1" s="1"/>
  <c r="BX8" i="1"/>
  <c r="AI7" i="1"/>
  <c r="AT7" i="1" s="1"/>
  <c r="CF6" i="1"/>
  <c r="BV5" i="1"/>
  <c r="AL5" i="1"/>
  <c r="BI5" i="1" s="1"/>
  <c r="AH5" i="1"/>
  <c r="CC5" i="1" s="1"/>
  <c r="BY22" i="1"/>
  <c r="BY17" i="1"/>
  <c r="BV14" i="1"/>
  <c r="AX14" i="1"/>
  <c r="BJ14" i="1" s="1"/>
  <c r="AJ12" i="1"/>
  <c r="BG12" i="1" s="1"/>
  <c r="BS12" i="1" s="1"/>
  <c r="AO9" i="1"/>
  <c r="AH8" i="1"/>
  <c r="BQ8" i="1" s="1"/>
  <c r="CC6" i="1"/>
  <c r="AO5" i="1"/>
  <c r="AS74" i="1"/>
  <c r="BB74" i="1"/>
  <c r="BN74" i="1" s="1"/>
  <c r="BZ74" i="1"/>
  <c r="BD64" i="1"/>
  <c r="BP64" i="1"/>
  <c r="CB64" i="1"/>
  <c r="AS62" i="1"/>
  <c r="BB62" i="1"/>
  <c r="BN62" i="1" s="1"/>
  <c r="BZ62" i="1"/>
  <c r="AS52" i="1"/>
  <c r="BB52" i="1"/>
  <c r="BN52" i="1" s="1"/>
  <c r="BZ52" i="1"/>
  <c r="AM52" i="1"/>
  <c r="AW52" i="1" s="1"/>
  <c r="AS70" i="1"/>
  <c r="BB70" i="1"/>
  <c r="BN70" i="1" s="1"/>
  <c r="BZ70" i="1"/>
  <c r="AS66" i="1"/>
  <c r="BB66" i="1"/>
  <c r="BN66" i="1" s="1"/>
  <c r="BZ66" i="1"/>
  <c r="BG62" i="1"/>
  <c r="BS62" i="1" s="1"/>
  <c r="CE62" i="1"/>
  <c r="AU62" i="1"/>
  <c r="AV49" i="1"/>
  <c r="BI49" i="1"/>
  <c r="BU49" i="1" s="1"/>
  <c r="CG49" i="1"/>
  <c r="AS40" i="1"/>
  <c r="BB40" i="1"/>
  <c r="BN40" i="1" s="1"/>
  <c r="BZ40" i="1"/>
  <c r="AS78" i="1"/>
  <c r="BB78" i="1"/>
  <c r="BN78" i="1" s="1"/>
  <c r="BZ78" i="1"/>
  <c r="CD71" i="1"/>
  <c r="BF71" i="1"/>
  <c r="BR71" i="1" s="1"/>
  <c r="AT71" i="1"/>
  <c r="BG66" i="1"/>
  <c r="BS66" i="1" s="1"/>
  <c r="CE66" i="1"/>
  <c r="AU66" i="1"/>
  <c r="BH84" i="1"/>
  <c r="BT84" i="1" s="1"/>
  <c r="CF84" i="1"/>
  <c r="AF84" i="1"/>
  <c r="AJ84" i="1"/>
  <c r="AN84" i="1"/>
  <c r="AP81" i="1"/>
  <c r="AM81" i="1"/>
  <c r="AY81" i="1"/>
  <c r="BK81" i="1" s="1"/>
  <c r="BW81" i="1"/>
  <c r="BE75" i="1"/>
  <c r="BQ75" i="1"/>
  <c r="CC75" i="1"/>
  <c r="BC74" i="1"/>
  <c r="BH72" i="1"/>
  <c r="BT72" i="1" s="1"/>
  <c r="CF72" i="1"/>
  <c r="AM68" i="1"/>
  <c r="AW68" i="1" s="1"/>
  <c r="AQ68" i="1"/>
  <c r="AZ68" i="1"/>
  <c r="BL68" i="1" s="1"/>
  <c r="BX68" i="1"/>
  <c r="AF67" i="1"/>
  <c r="AJ67" i="1"/>
  <c r="AN67" i="1"/>
  <c r="AK67" i="1"/>
  <c r="AO67" i="1"/>
  <c r="BB63" i="1"/>
  <c r="BN63" i="1" s="1"/>
  <c r="AM63" i="1"/>
  <c r="AF63" i="1"/>
  <c r="AJ63" i="1"/>
  <c r="AN63" i="1"/>
  <c r="AK63" i="1"/>
  <c r="AO63" i="1"/>
  <c r="AT43" i="1"/>
  <c r="CD43" i="1"/>
  <c r="AR42" i="1"/>
  <c r="BA42" i="1"/>
  <c r="BM42" i="1" s="1"/>
  <c r="BY42" i="1"/>
  <c r="BE41" i="1"/>
  <c r="AQ39" i="1"/>
  <c r="AS36" i="1"/>
  <c r="BB36" i="1"/>
  <c r="BN36" i="1" s="1"/>
  <c r="BZ36" i="1"/>
  <c r="AG36" i="1"/>
  <c r="AK36" i="1"/>
  <c r="AO36" i="1"/>
  <c r="AH36" i="1"/>
  <c r="AL36" i="1"/>
  <c r="AX36" i="1"/>
  <c r="BJ36" i="1" s="1"/>
  <c r="BV36" i="1"/>
  <c r="AF36" i="1"/>
  <c r="AN36" i="1"/>
  <c r="AI36" i="1"/>
  <c r="AM36" i="1"/>
  <c r="BE79" i="1"/>
  <c r="AF75" i="1"/>
  <c r="AJ75" i="1"/>
  <c r="AN75" i="1"/>
  <c r="AK75" i="1"/>
  <c r="AO75" i="1"/>
  <c r="AG74" i="1"/>
  <c r="AK74" i="1"/>
  <c r="AO74" i="1"/>
  <c r="AH74" i="1"/>
  <c r="AL74" i="1"/>
  <c r="AX74" i="1"/>
  <c r="BJ74" i="1" s="1"/>
  <c r="BV74" i="1"/>
  <c r="BV71" i="1"/>
  <c r="AL71" i="1"/>
  <c r="AR71" i="1"/>
  <c r="BA71" i="1"/>
  <c r="BM71" i="1" s="1"/>
  <c r="BY71" i="1"/>
  <c r="CA70" i="1"/>
  <c r="AK70" i="1"/>
  <c r="AO70" i="1"/>
  <c r="AH70" i="1"/>
  <c r="AL70" i="1"/>
  <c r="AX70" i="1"/>
  <c r="BJ70" i="1" s="1"/>
  <c r="BV70" i="1"/>
  <c r="BB67" i="1"/>
  <c r="BN67" i="1" s="1"/>
  <c r="AL67" i="1"/>
  <c r="AR67" i="1"/>
  <c r="BA67" i="1"/>
  <c r="BM67" i="1" s="1"/>
  <c r="BY67" i="1"/>
  <c r="BX51" i="1"/>
  <c r="BH47" i="1"/>
  <c r="BT47" i="1" s="1"/>
  <c r="BD47" i="1"/>
  <c r="BO46" i="1"/>
  <c r="BC46" i="1"/>
  <c r="AM44" i="1"/>
  <c r="AQ44" i="1"/>
  <c r="AZ44" i="1"/>
  <c r="BL44" i="1" s="1"/>
  <c r="BX44" i="1"/>
  <c r="BE43" i="1"/>
  <c r="BQ43" i="1"/>
  <c r="CC43" i="1"/>
  <c r="AG40" i="1"/>
  <c r="AK40" i="1"/>
  <c r="AO40" i="1"/>
  <c r="AH40" i="1"/>
  <c r="AL40" i="1"/>
  <c r="AX40" i="1"/>
  <c r="BJ40" i="1" s="1"/>
  <c r="BV40" i="1"/>
  <c r="AI40" i="1"/>
  <c r="AJ40" i="1"/>
  <c r="AM40" i="1"/>
  <c r="AN40" i="1"/>
  <c r="CF35" i="1"/>
  <c r="AP35" i="1"/>
  <c r="AM35" i="1"/>
  <c r="AY35" i="1"/>
  <c r="BK35" i="1" s="1"/>
  <c r="BW35" i="1"/>
  <c r="BB35" i="1"/>
  <c r="BN35" i="1" s="1"/>
  <c r="BZ35" i="1"/>
  <c r="AS35" i="1"/>
  <c r="AR34" i="1"/>
  <c r="BA34" i="1"/>
  <c r="BM34" i="1" s="1"/>
  <c r="AG34" i="1"/>
  <c r="AH34" i="1"/>
  <c r="AU32" i="1"/>
  <c r="CE32" i="1"/>
  <c r="BG32" i="1"/>
  <c r="BS32" i="1" s="1"/>
  <c r="AM30" i="1"/>
  <c r="AQ30" i="1"/>
  <c r="AZ30" i="1"/>
  <c r="BL30" i="1" s="1"/>
  <c r="BX30" i="1"/>
  <c r="AZ29" i="1"/>
  <c r="BL29" i="1" s="1"/>
  <c r="BX29" i="1"/>
  <c r="AQ29" i="1"/>
  <c r="AY19" i="1"/>
  <c r="BK19" i="1" s="1"/>
  <c r="AP19" i="1"/>
  <c r="BW19" i="1"/>
  <c r="AS19" i="1"/>
  <c r="BZ19" i="1"/>
  <c r="BB19" i="1"/>
  <c r="BN19" i="1" s="1"/>
  <c r="AV17" i="1"/>
  <c r="CG17" i="1"/>
  <c r="CF15" i="1"/>
  <c r="BP15" i="1"/>
  <c r="AM15" i="1"/>
  <c r="AY15" i="1"/>
  <c r="BK15" i="1" s="1"/>
  <c r="BW15" i="1"/>
  <c r="AS15" i="1"/>
  <c r="BB15" i="1"/>
  <c r="BN15" i="1" s="1"/>
  <c r="BZ15" i="1"/>
  <c r="AQ5" i="1"/>
  <c r="AZ5" i="1"/>
  <c r="BX5" i="1"/>
  <c r="AB86" i="1"/>
  <c r="BY84" i="1"/>
  <c r="AX84" i="1"/>
  <c r="BJ84" i="1" s="1"/>
  <c r="AS84" i="1"/>
  <c r="AM84" i="1"/>
  <c r="AH84" i="1"/>
  <c r="AZ84" i="1"/>
  <c r="BL84" i="1" s="1"/>
  <c r="BX84" i="1"/>
  <c r="CB83" i="1"/>
  <c r="BB83" i="1"/>
  <c r="BN83" i="1" s="1"/>
  <c r="AL83" i="1"/>
  <c r="AN82" i="1"/>
  <c r="BX81" i="1"/>
  <c r="AZ81" i="1"/>
  <c r="BL81" i="1" s="1"/>
  <c r="BH80" i="1"/>
  <c r="BT80" i="1" s="1"/>
  <c r="CF80" i="1"/>
  <c r="AF79" i="1"/>
  <c r="AJ79" i="1"/>
  <c r="AN79" i="1"/>
  <c r="AK79" i="1"/>
  <c r="AO79" i="1"/>
  <c r="BW78" i="1"/>
  <c r="BO78" i="1"/>
  <c r="AM78" i="1"/>
  <c r="AG78" i="1"/>
  <c r="AK78" i="1"/>
  <c r="AO78" i="1"/>
  <c r="AW78" i="1"/>
  <c r="AH78" i="1"/>
  <c r="AL78" i="1"/>
  <c r="AX78" i="1"/>
  <c r="BJ78" i="1" s="1"/>
  <c r="BV78" i="1"/>
  <c r="BV75" i="1"/>
  <c r="AL75" i="1"/>
  <c r="AR75" i="1"/>
  <c r="BA75" i="1"/>
  <c r="BM75" i="1" s="1"/>
  <c r="BY75" i="1"/>
  <c r="AG75" i="1"/>
  <c r="CA74" i="1"/>
  <c r="AJ74" i="1"/>
  <c r="AP73" i="1"/>
  <c r="AM73" i="1"/>
  <c r="AW73" i="1" s="1"/>
  <c r="AY73" i="1"/>
  <c r="BK73" i="1" s="1"/>
  <c r="BW73" i="1"/>
  <c r="BB73" i="1"/>
  <c r="BN73" i="1" s="1"/>
  <c r="BZ73" i="1"/>
  <c r="AH72" i="1"/>
  <c r="AM72" i="1"/>
  <c r="AQ72" i="1"/>
  <c r="AZ72" i="1"/>
  <c r="BL72" i="1" s="1"/>
  <c r="BX72" i="1"/>
  <c r="BZ71" i="1"/>
  <c r="AJ70" i="1"/>
  <c r="AG70" i="1"/>
  <c r="AP69" i="1"/>
  <c r="AM69" i="1"/>
  <c r="AY69" i="1"/>
  <c r="BK69" i="1" s="1"/>
  <c r="BW69" i="1"/>
  <c r="BB69" i="1"/>
  <c r="BN69" i="1" s="1"/>
  <c r="BZ69" i="1"/>
  <c r="AI67" i="1"/>
  <c r="AG66" i="1"/>
  <c r="AP65" i="1"/>
  <c r="AM65" i="1"/>
  <c r="AY65" i="1"/>
  <c r="BK65" i="1" s="1"/>
  <c r="BW65" i="1"/>
  <c r="BB65" i="1"/>
  <c r="BN65" i="1" s="1"/>
  <c r="BZ65" i="1"/>
  <c r="AH64" i="1"/>
  <c r="AM64" i="1"/>
  <c r="AQ64" i="1"/>
  <c r="AZ64" i="1"/>
  <c r="BL64" i="1" s="1"/>
  <c r="BX64" i="1"/>
  <c r="BZ63" i="1"/>
  <c r="AI63" i="1"/>
  <c r="AG62" i="1"/>
  <c r="AO61" i="1"/>
  <c r="AP61" i="1"/>
  <c r="AY61" i="1"/>
  <c r="BK61" i="1" s="1"/>
  <c r="BW61" i="1"/>
  <c r="BB60" i="1"/>
  <c r="BN60" i="1" s="1"/>
  <c r="BZ60" i="1"/>
  <c r="AH60" i="1"/>
  <c r="AL60" i="1"/>
  <c r="AX60" i="1"/>
  <c r="BJ60" i="1" s="1"/>
  <c r="BV60" i="1"/>
  <c r="AF60" i="1"/>
  <c r="AK60" i="1"/>
  <c r="AG60" i="1"/>
  <c r="AM60" i="1"/>
  <c r="BE58" i="1"/>
  <c r="AZ58" i="1"/>
  <c r="BL58" i="1" s="1"/>
  <c r="BX58" i="1"/>
  <c r="BE57" i="1"/>
  <c r="BQ57" i="1"/>
  <c r="CC57" i="1"/>
  <c r="CA56" i="1"/>
  <c r="BO56" i="1"/>
  <c r="AU55" i="1"/>
  <c r="BG55" i="1"/>
  <c r="BS55" i="1" s="1"/>
  <c r="CE55" i="1"/>
  <c r="BD54" i="1"/>
  <c r="AG52" i="1"/>
  <c r="AK52" i="1"/>
  <c r="AO52" i="1"/>
  <c r="AH52" i="1"/>
  <c r="AL52" i="1"/>
  <c r="AX52" i="1"/>
  <c r="BJ52" i="1" s="1"/>
  <c r="BV52" i="1"/>
  <c r="AI52" i="1"/>
  <c r="AJ52" i="1"/>
  <c r="AR50" i="1"/>
  <c r="BA50" i="1"/>
  <c r="BM50" i="1" s="1"/>
  <c r="AG50" i="1"/>
  <c r="AH50" i="1"/>
  <c r="AS48" i="1"/>
  <c r="BB48" i="1"/>
  <c r="BN48" i="1" s="1"/>
  <c r="BZ48" i="1"/>
  <c r="AG48" i="1"/>
  <c r="AK48" i="1"/>
  <c r="AO48" i="1"/>
  <c r="AH48" i="1"/>
  <c r="AL48" i="1"/>
  <c r="AX48" i="1"/>
  <c r="BJ48" i="1" s="1"/>
  <c r="BV48" i="1"/>
  <c r="AF48" i="1"/>
  <c r="AN48" i="1"/>
  <c r="AI48" i="1"/>
  <c r="CA47" i="1"/>
  <c r="AP45" i="1"/>
  <c r="AM45" i="1"/>
  <c r="AY45" i="1"/>
  <c r="BK45" i="1" s="1"/>
  <c r="BW45" i="1"/>
  <c r="BB45" i="1"/>
  <c r="BN45" i="1" s="1"/>
  <c r="BZ45" i="1"/>
  <c r="AS45" i="1"/>
  <c r="BD44" i="1"/>
  <c r="BP44" i="1"/>
  <c r="CB44" i="1"/>
  <c r="AR38" i="1"/>
  <c r="BA38" i="1"/>
  <c r="BM38" i="1" s="1"/>
  <c r="BY38" i="1"/>
  <c r="AG38" i="1"/>
  <c r="AH38" i="1"/>
  <c r="AV37" i="1"/>
  <c r="BI37" i="1"/>
  <c r="BU37" i="1" s="1"/>
  <c r="CG37" i="1"/>
  <c r="BY34" i="1"/>
  <c r="AM34" i="1"/>
  <c r="AQ34" i="1"/>
  <c r="AZ34" i="1"/>
  <c r="BL34" i="1" s="1"/>
  <c r="BX34" i="1"/>
  <c r="CD32" i="1"/>
  <c r="AS32" i="1"/>
  <c r="BB32" i="1"/>
  <c r="BN32" i="1" s="1"/>
  <c r="BZ32" i="1"/>
  <c r="BP30" i="1"/>
  <c r="BC28" i="1"/>
  <c r="BO28" i="1"/>
  <c r="CA28" i="1"/>
  <c r="AY28" i="1"/>
  <c r="BK28" i="1" s="1"/>
  <c r="AP28" i="1"/>
  <c r="BW28" i="1"/>
  <c r="AM21" i="1"/>
  <c r="AQ21" i="1"/>
  <c r="AZ21" i="1"/>
  <c r="BL21" i="1" s="1"/>
  <c r="BX21" i="1"/>
  <c r="AR20" i="1"/>
  <c r="BA20" i="1"/>
  <c r="BM20" i="1" s="1"/>
  <c r="BY20" i="1"/>
  <c r="AM20" i="1"/>
  <c r="AG20" i="1"/>
  <c r="AH20" i="1"/>
  <c r="BB81" i="1"/>
  <c r="BN81" i="1" s="1"/>
  <c r="BZ81" i="1"/>
  <c r="AM80" i="1"/>
  <c r="AQ80" i="1"/>
  <c r="AZ80" i="1"/>
  <c r="BL80" i="1" s="1"/>
  <c r="BX80" i="1"/>
  <c r="BC77" i="1"/>
  <c r="BO77" i="1"/>
  <c r="CA77" i="1"/>
  <c r="CA72" i="1"/>
  <c r="BB71" i="1"/>
  <c r="BN71" i="1" s="1"/>
  <c r="AM71" i="1"/>
  <c r="AF71" i="1"/>
  <c r="AJ71" i="1"/>
  <c r="AN71" i="1"/>
  <c r="AK71" i="1"/>
  <c r="AO71" i="1"/>
  <c r="AM67" i="1"/>
  <c r="BC64" i="1"/>
  <c r="BO64" i="1"/>
  <c r="CA64" i="1"/>
  <c r="AR49" i="1"/>
  <c r="BA49" i="1"/>
  <c r="BM49" i="1" s="1"/>
  <c r="BY49" i="1"/>
  <c r="AG49" i="1"/>
  <c r="AH49" i="1"/>
  <c r="AT46" i="1"/>
  <c r="BF46" i="1"/>
  <c r="BR46" i="1" s="1"/>
  <c r="CD46" i="1"/>
  <c r="AM42" i="1"/>
  <c r="AG42" i="1"/>
  <c r="AH42" i="1"/>
  <c r="CA40" i="1"/>
  <c r="BC40" i="1"/>
  <c r="BO40" i="1"/>
  <c r="AP40" i="1"/>
  <c r="AY40" i="1"/>
  <c r="BK40" i="1" s="1"/>
  <c r="AS27" i="1"/>
  <c r="BB27" i="1"/>
  <c r="BN27" i="1" s="1"/>
  <c r="BZ27" i="1"/>
  <c r="AG27" i="1"/>
  <c r="AK27" i="1"/>
  <c r="AO27" i="1"/>
  <c r="AH27" i="1"/>
  <c r="AL27" i="1"/>
  <c r="AX27" i="1"/>
  <c r="BJ27" i="1" s="1"/>
  <c r="BV27" i="1"/>
  <c r="AI27" i="1"/>
  <c r="AJ27" i="1"/>
  <c r="AM27" i="1"/>
  <c r="AN27" i="1"/>
  <c r="AC86" i="1"/>
  <c r="BZ84" i="1"/>
  <c r="AO84" i="1"/>
  <c r="AI84" i="1"/>
  <c r="AR83" i="1"/>
  <c r="AM83" i="1"/>
  <c r="AH83" i="1"/>
  <c r="AT82" i="1"/>
  <c r="BF82" i="1"/>
  <c r="BR82" i="1" s="1"/>
  <c r="CD82" i="1"/>
  <c r="BO81" i="1"/>
  <c r="BC76" i="1"/>
  <c r="BO76" i="1"/>
  <c r="CA76" i="1"/>
  <c r="BW74" i="1"/>
  <c r="AM74" i="1"/>
  <c r="AW74" i="1" s="1"/>
  <c r="AG71" i="1"/>
  <c r="BC70" i="1"/>
  <c r="AM70" i="1"/>
  <c r="AW70" i="1" s="1"/>
  <c r="AG67" i="1"/>
  <c r="CA66" i="1"/>
  <c r="BC66" i="1"/>
  <c r="AM66" i="1"/>
  <c r="AK66" i="1"/>
  <c r="AO66" i="1"/>
  <c r="AH66" i="1"/>
  <c r="AL66" i="1"/>
  <c r="AX66" i="1"/>
  <c r="BJ66" i="1" s="1"/>
  <c r="BV66" i="1"/>
  <c r="BV63" i="1"/>
  <c r="AL63" i="1"/>
  <c r="AR63" i="1"/>
  <c r="BA63" i="1"/>
  <c r="BM63" i="1" s="1"/>
  <c r="BY63" i="1"/>
  <c r="AG63" i="1"/>
  <c r="CA62" i="1"/>
  <c r="BC62" i="1"/>
  <c r="AM62" i="1"/>
  <c r="AK62" i="1"/>
  <c r="AO62" i="1"/>
  <c r="AH62" i="1"/>
  <c r="AL62" i="1"/>
  <c r="AX62" i="1"/>
  <c r="BJ62" i="1" s="1"/>
  <c r="BV62" i="1"/>
  <c r="AU61" i="1"/>
  <c r="BG61" i="1"/>
  <c r="BS61" i="1" s="1"/>
  <c r="CE61" i="1"/>
  <c r="AT60" i="1"/>
  <c r="BF60" i="1"/>
  <c r="BR60" i="1" s="1"/>
  <c r="CD60" i="1"/>
  <c r="AP56" i="1"/>
  <c r="AM56" i="1"/>
  <c r="BW56" i="1"/>
  <c r="AS56" i="1"/>
  <c r="BB56" i="1"/>
  <c r="BN56" i="1" s="1"/>
  <c r="BZ56" i="1"/>
  <c r="AP52" i="1"/>
  <c r="AY52" i="1"/>
  <c r="BK52" i="1" s="1"/>
  <c r="AQ51" i="1"/>
  <c r="AE86" i="1"/>
  <c r="AA86" i="1"/>
  <c r="AL84" i="1"/>
  <c r="AK83" i="1"/>
  <c r="AO83" i="1"/>
  <c r="AS82" i="1"/>
  <c r="BB82" i="1"/>
  <c r="BN82" i="1" s="1"/>
  <c r="BZ82" i="1"/>
  <c r="AG82" i="1"/>
  <c r="AK82" i="1"/>
  <c r="AO82" i="1"/>
  <c r="AH82" i="1"/>
  <c r="AL82" i="1"/>
  <c r="AX82" i="1"/>
  <c r="BJ82" i="1" s="1"/>
  <c r="BV82" i="1"/>
  <c r="AS81" i="1"/>
  <c r="BI79" i="1"/>
  <c r="BU79" i="1" s="1"/>
  <c r="AR79" i="1"/>
  <c r="BA79" i="1"/>
  <c r="BM79" i="1" s="1"/>
  <c r="BY79" i="1"/>
  <c r="CB79" i="1"/>
  <c r="AP77" i="1"/>
  <c r="AM77" i="1"/>
  <c r="AY77" i="1"/>
  <c r="BK77" i="1" s="1"/>
  <c r="BW77" i="1"/>
  <c r="BB77" i="1"/>
  <c r="BN77" i="1" s="1"/>
  <c r="BZ77" i="1"/>
  <c r="AM76" i="1"/>
  <c r="AQ76" i="1"/>
  <c r="AZ76" i="1"/>
  <c r="BL76" i="1" s="1"/>
  <c r="BX76" i="1"/>
  <c r="BZ75" i="1"/>
  <c r="AI75" i="1"/>
  <c r="AY74" i="1"/>
  <c r="BK74" i="1" s="1"/>
  <c r="AI74" i="1"/>
  <c r="CE73" i="1"/>
  <c r="BC73" i="1"/>
  <c r="BO73" i="1"/>
  <c r="CA73" i="1"/>
  <c r="BA72" i="1"/>
  <c r="BM72" i="1" s="1"/>
  <c r="AX71" i="1"/>
  <c r="BJ71" i="1" s="1"/>
  <c r="AH71" i="1"/>
  <c r="BW70" i="1"/>
  <c r="AY70" i="1"/>
  <c r="BK70" i="1" s="1"/>
  <c r="AI70" i="1"/>
  <c r="BC69" i="1"/>
  <c r="BO69" i="1"/>
  <c r="CA69" i="1"/>
  <c r="BV67" i="1"/>
  <c r="AX67" i="1"/>
  <c r="BJ67" i="1" s="1"/>
  <c r="AH67" i="1"/>
  <c r="BW66" i="1"/>
  <c r="AY66" i="1"/>
  <c r="BK66" i="1" s="1"/>
  <c r="AI66" i="1"/>
  <c r="BC65" i="1"/>
  <c r="BO65" i="1"/>
  <c r="CA65" i="1"/>
  <c r="BA64" i="1"/>
  <c r="BM64" i="1" s="1"/>
  <c r="AX63" i="1"/>
  <c r="BJ63" i="1" s="1"/>
  <c r="AH63" i="1"/>
  <c r="BW62" i="1"/>
  <c r="AY62" i="1"/>
  <c r="BK62" i="1" s="1"/>
  <c r="AI62" i="1"/>
  <c r="BB61" i="1"/>
  <c r="BN61" i="1" s="1"/>
  <c r="BZ61" i="1"/>
  <c r="AH61" i="1"/>
  <c r="AL61" i="1"/>
  <c r="AX61" i="1"/>
  <c r="BJ61" i="1" s="1"/>
  <c r="BV61" i="1"/>
  <c r="AI61" i="1"/>
  <c r="AM61" i="1"/>
  <c r="AW61" i="1" s="1"/>
  <c r="AQ59" i="1"/>
  <c r="AZ59" i="1"/>
  <c r="BL59" i="1" s="1"/>
  <c r="AV58" i="1"/>
  <c r="CG58" i="1"/>
  <c r="AY56" i="1"/>
  <c r="BK56" i="1" s="1"/>
  <c r="BH54" i="1"/>
  <c r="BT54" i="1" s="1"/>
  <c r="CF54" i="1"/>
  <c r="AS53" i="1"/>
  <c r="BZ53" i="1"/>
  <c r="AF53" i="1"/>
  <c r="AJ53" i="1"/>
  <c r="AN53" i="1"/>
  <c r="AW53" i="1" s="1"/>
  <c r="AK53" i="1"/>
  <c r="AO53" i="1"/>
  <c r="AI53" i="1"/>
  <c r="AL53" i="1"/>
  <c r="BV53" i="1"/>
  <c r="BO52" i="1"/>
  <c r="BH50" i="1"/>
  <c r="BT50" i="1" s="1"/>
  <c r="CF50" i="1"/>
  <c r="AS49" i="1"/>
  <c r="BZ49" i="1"/>
  <c r="AF49" i="1"/>
  <c r="AJ49" i="1"/>
  <c r="AN49" i="1"/>
  <c r="AW49" i="1" s="1"/>
  <c r="AK49" i="1"/>
  <c r="AO49" i="1"/>
  <c r="AX49" i="1"/>
  <c r="BJ49" i="1" s="1"/>
  <c r="AI49" i="1"/>
  <c r="CA46" i="1"/>
  <c r="CE46" i="1"/>
  <c r="BC45" i="1"/>
  <c r="BO45" i="1"/>
  <c r="CA45" i="1"/>
  <c r="BF43" i="1"/>
  <c r="BR43" i="1" s="1"/>
  <c r="BW40" i="1"/>
  <c r="AJ36" i="1"/>
  <c r="AF27" i="1"/>
  <c r="AP27" i="1"/>
  <c r="AY27" i="1"/>
  <c r="BK27" i="1" s="1"/>
  <c r="BW27" i="1"/>
  <c r="AS24" i="1"/>
  <c r="BZ24" i="1"/>
  <c r="AS23" i="1"/>
  <c r="BB23" i="1"/>
  <c r="BN23" i="1" s="1"/>
  <c r="BZ23" i="1"/>
  <c r="AG23" i="1"/>
  <c r="AK23" i="1"/>
  <c r="AO23" i="1"/>
  <c r="AH23" i="1"/>
  <c r="AL23" i="1"/>
  <c r="AX23" i="1"/>
  <c r="BJ23" i="1" s="1"/>
  <c r="BV23" i="1"/>
  <c r="AF23" i="1"/>
  <c r="AN23" i="1"/>
  <c r="AI23" i="1"/>
  <c r="AJ23" i="1"/>
  <c r="AM23" i="1"/>
  <c r="AN80" i="1"/>
  <c r="AJ80" i="1"/>
  <c r="AN76" i="1"/>
  <c r="AJ76" i="1"/>
  <c r="AN72" i="1"/>
  <c r="AJ72" i="1"/>
  <c r="AN64" i="1"/>
  <c r="AJ64" i="1"/>
  <c r="AG61" i="1"/>
  <c r="AM59" i="1"/>
  <c r="AY59" i="1"/>
  <c r="BK59" i="1" s="1"/>
  <c r="BW59" i="1"/>
  <c r="BA58" i="1"/>
  <c r="BM58" i="1" s="1"/>
  <c r="BH58" i="1"/>
  <c r="BT58" i="1" s="1"/>
  <c r="AF58" i="1"/>
  <c r="AJ58" i="1"/>
  <c r="AN58" i="1"/>
  <c r="AF57" i="1"/>
  <c r="AJ57" i="1"/>
  <c r="AN57" i="1"/>
  <c r="AK57" i="1"/>
  <c r="AO57" i="1"/>
  <c r="AG56" i="1"/>
  <c r="AK56" i="1"/>
  <c r="AO56" i="1"/>
  <c r="AH56" i="1"/>
  <c r="AL56" i="1"/>
  <c r="AX56" i="1"/>
  <c r="BJ56" i="1" s="1"/>
  <c r="BV56" i="1"/>
  <c r="AR53" i="1"/>
  <c r="BA53" i="1"/>
  <c r="BM53" i="1" s="1"/>
  <c r="BY53" i="1"/>
  <c r="AG53" i="1"/>
  <c r="AP51" i="1"/>
  <c r="AM51" i="1"/>
  <c r="AY51" i="1"/>
  <c r="BK51" i="1" s="1"/>
  <c r="BW51" i="1"/>
  <c r="BB51" i="1"/>
  <c r="BN51" i="1" s="1"/>
  <c r="BZ51" i="1"/>
  <c r="AM50" i="1"/>
  <c r="AQ50" i="1"/>
  <c r="AZ50" i="1"/>
  <c r="BL50" i="1" s="1"/>
  <c r="BX50" i="1"/>
  <c r="AY48" i="1"/>
  <c r="BK48" i="1" s="1"/>
  <c r="BB47" i="1"/>
  <c r="BN47" i="1" s="1"/>
  <c r="BZ47" i="1"/>
  <c r="AN46" i="1"/>
  <c r="BX45" i="1"/>
  <c r="AZ45" i="1"/>
  <c r="BL45" i="1" s="1"/>
  <c r="AJ43" i="1"/>
  <c r="AN43" i="1"/>
  <c r="AK43" i="1"/>
  <c r="AO43" i="1"/>
  <c r="AZ42" i="1"/>
  <c r="BL42" i="1" s="1"/>
  <c r="BX42" i="1"/>
  <c r="AQ42" i="1"/>
  <c r="AS41" i="1"/>
  <c r="BZ41" i="1"/>
  <c r="AF41" i="1"/>
  <c r="AJ41" i="1"/>
  <c r="AN41" i="1"/>
  <c r="AK41" i="1"/>
  <c r="AO41" i="1"/>
  <c r="AI41" i="1"/>
  <c r="AL41" i="1"/>
  <c r="BV41" i="1"/>
  <c r="AS37" i="1"/>
  <c r="BZ37" i="1"/>
  <c r="AF37" i="1"/>
  <c r="AJ37" i="1"/>
  <c r="AN37" i="1"/>
  <c r="AK37" i="1"/>
  <c r="AO37" i="1"/>
  <c r="AX37" i="1"/>
  <c r="BJ37" i="1" s="1"/>
  <c r="AI37" i="1"/>
  <c r="AR33" i="1"/>
  <c r="BA33" i="1"/>
  <c r="BM33" i="1" s="1"/>
  <c r="BY33" i="1"/>
  <c r="AM33" i="1"/>
  <c r="AG33" i="1"/>
  <c r="AH33" i="1"/>
  <c r="AP31" i="1"/>
  <c r="AM31" i="1"/>
  <c r="AW31" i="1" s="1"/>
  <c r="AY31" i="1"/>
  <c r="BK31" i="1" s="1"/>
  <c r="BW31" i="1"/>
  <c r="BB31" i="1"/>
  <c r="BN31" i="1" s="1"/>
  <c r="BZ31" i="1"/>
  <c r="AS31" i="1"/>
  <c r="BP29" i="1"/>
  <c r="AR25" i="1"/>
  <c r="BA25" i="1"/>
  <c r="BM25" i="1" s="1"/>
  <c r="BY25" i="1"/>
  <c r="AG25" i="1"/>
  <c r="AH25" i="1"/>
  <c r="BY70" i="1"/>
  <c r="BV69" i="1"/>
  <c r="AX69" i="1"/>
  <c r="BJ69" i="1" s="1"/>
  <c r="AL69" i="1"/>
  <c r="BY66" i="1"/>
  <c r="BV65" i="1"/>
  <c r="AX65" i="1"/>
  <c r="BJ65" i="1" s="1"/>
  <c r="AL65" i="1"/>
  <c r="BY62" i="1"/>
  <c r="BC59" i="1"/>
  <c r="BO59" i="1"/>
  <c r="CA59" i="1"/>
  <c r="BI57" i="1"/>
  <c r="BU57" i="1" s="1"/>
  <c r="AR57" i="1"/>
  <c r="BA57" i="1"/>
  <c r="BM57" i="1" s="1"/>
  <c r="BY57" i="1"/>
  <c r="AP55" i="1"/>
  <c r="AY55" i="1"/>
  <c r="BK55" i="1" s="1"/>
  <c r="BW55" i="1"/>
  <c r="BB55" i="1"/>
  <c r="BN55" i="1" s="1"/>
  <c r="BZ55" i="1"/>
  <c r="AM54" i="1"/>
  <c r="AQ54" i="1"/>
  <c r="AZ54" i="1"/>
  <c r="BL54" i="1" s="1"/>
  <c r="BX54" i="1"/>
  <c r="CE51" i="1"/>
  <c r="BC51" i="1"/>
  <c r="BO51" i="1"/>
  <c r="CA51" i="1"/>
  <c r="AU47" i="1"/>
  <c r="AL47" i="1"/>
  <c r="AX47" i="1"/>
  <c r="BJ47" i="1" s="1"/>
  <c r="BV47" i="1"/>
  <c r="AI47" i="1"/>
  <c r="AM47" i="1"/>
  <c r="AS46" i="1"/>
  <c r="BB46" i="1"/>
  <c r="BN46" i="1" s="1"/>
  <c r="BZ46" i="1"/>
  <c r="AG46" i="1"/>
  <c r="AK46" i="1"/>
  <c r="AO46" i="1"/>
  <c r="AH46" i="1"/>
  <c r="AL46" i="1"/>
  <c r="AX46" i="1"/>
  <c r="BJ46" i="1" s="1"/>
  <c r="BV46" i="1"/>
  <c r="AV43" i="1"/>
  <c r="BI43" i="1"/>
  <c r="BU43" i="1" s="1"/>
  <c r="CG43" i="1"/>
  <c r="BA43" i="1"/>
  <c r="BM43" i="1" s="1"/>
  <c r="BD43" i="1"/>
  <c r="AR37" i="1"/>
  <c r="BA37" i="1"/>
  <c r="BM37" i="1" s="1"/>
  <c r="BY37" i="1"/>
  <c r="AG37" i="1"/>
  <c r="AH37" i="1"/>
  <c r="AQ35" i="1"/>
  <c r="AZ35" i="1"/>
  <c r="BL35" i="1" s="1"/>
  <c r="BX35" i="1"/>
  <c r="AU31" i="1"/>
  <c r="BG31" i="1"/>
  <c r="BS31" i="1" s="1"/>
  <c r="CE31" i="1"/>
  <c r="BC31" i="1"/>
  <c r="BO31" i="1"/>
  <c r="CA31" i="1"/>
  <c r="CE28" i="1"/>
  <c r="AU28" i="1"/>
  <c r="BG28" i="1"/>
  <c r="BS28" i="1" s="1"/>
  <c r="CF25" i="1"/>
  <c r="AJ24" i="1"/>
  <c r="AN24" i="1"/>
  <c r="AK24" i="1"/>
  <c r="AO24" i="1"/>
  <c r="AX24" i="1"/>
  <c r="BJ24" i="1" s="1"/>
  <c r="AI24" i="1"/>
  <c r="AD24" i="1"/>
  <c r="AF24" i="1" s="1"/>
  <c r="AR21" i="1"/>
  <c r="BA21" i="1"/>
  <c r="BM21" i="1" s="1"/>
  <c r="AG21" i="1"/>
  <c r="AH21" i="1"/>
  <c r="AN54" i="1"/>
  <c r="AJ54" i="1"/>
  <c r="AN50" i="1"/>
  <c r="AJ50" i="1"/>
  <c r="AN44" i="1"/>
  <c r="AJ44" i="1"/>
  <c r="AR41" i="1"/>
  <c r="BA41" i="1"/>
  <c r="BM41" i="1" s="1"/>
  <c r="BY41" i="1"/>
  <c r="AG41" i="1"/>
  <c r="AP39" i="1"/>
  <c r="AM39" i="1"/>
  <c r="AW39" i="1" s="1"/>
  <c r="AY39" i="1"/>
  <c r="BK39" i="1" s="1"/>
  <c r="BW39" i="1"/>
  <c r="BB39" i="1"/>
  <c r="BN39" i="1" s="1"/>
  <c r="BZ39" i="1"/>
  <c r="AM38" i="1"/>
  <c r="AQ38" i="1"/>
  <c r="AZ38" i="1"/>
  <c r="BL38" i="1" s="1"/>
  <c r="BX38" i="1"/>
  <c r="AY36" i="1"/>
  <c r="BK36" i="1" s="1"/>
  <c r="CE35" i="1"/>
  <c r="BC35" i="1"/>
  <c r="BO35" i="1"/>
  <c r="CA35" i="1"/>
  <c r="BH30" i="1"/>
  <c r="BT30" i="1" s="1"/>
  <c r="CF30" i="1"/>
  <c r="BC30" i="1"/>
  <c r="BO30" i="1"/>
  <c r="CA30" i="1"/>
  <c r="AS28" i="1"/>
  <c r="BZ28" i="1"/>
  <c r="AK28" i="1"/>
  <c r="AO28" i="1"/>
  <c r="AH28" i="1"/>
  <c r="AM28" i="1"/>
  <c r="AX28" i="1"/>
  <c r="BJ28" i="1" s="1"/>
  <c r="AI28" i="1"/>
  <c r="AN28" i="1"/>
  <c r="AG24" i="1"/>
  <c r="AH24" i="1"/>
  <c r="AQ22" i="1"/>
  <c r="AZ22" i="1"/>
  <c r="BL22" i="1" s="1"/>
  <c r="BX22" i="1"/>
  <c r="BE19" i="1"/>
  <c r="BQ19" i="1"/>
  <c r="CC19" i="1"/>
  <c r="AQ10" i="1"/>
  <c r="AZ10" i="1"/>
  <c r="BL10" i="1" s="1"/>
  <c r="BX10" i="1"/>
  <c r="AF42" i="1"/>
  <c r="AJ42" i="1"/>
  <c r="AN42" i="1"/>
  <c r="AW42" i="1" s="1"/>
  <c r="BG39" i="1"/>
  <c r="BS39" i="1" s="1"/>
  <c r="BC39" i="1"/>
  <c r="BO39" i="1"/>
  <c r="CA39" i="1"/>
  <c r="BC34" i="1"/>
  <c r="AF33" i="1"/>
  <c r="AJ33" i="1"/>
  <c r="AN33" i="1"/>
  <c r="AK33" i="1"/>
  <c r="AO33" i="1"/>
  <c r="BW32" i="1"/>
  <c r="AM32" i="1"/>
  <c r="AW32" i="1" s="1"/>
  <c r="AG32" i="1"/>
  <c r="AK32" i="1"/>
  <c r="AO32" i="1"/>
  <c r="AH32" i="1"/>
  <c r="AL32" i="1"/>
  <c r="AX32" i="1"/>
  <c r="BJ32" i="1" s="1"/>
  <c r="BV32" i="1"/>
  <c r="AL28" i="1"/>
  <c r="AQ26" i="1"/>
  <c r="AF26" i="1"/>
  <c r="AP22" i="1"/>
  <c r="AM22" i="1"/>
  <c r="AW22" i="1" s="1"/>
  <c r="AY22" i="1"/>
  <c r="BK22" i="1" s="1"/>
  <c r="BW22" i="1"/>
  <c r="BB22" i="1"/>
  <c r="BN22" i="1" s="1"/>
  <c r="BZ22" i="1"/>
  <c r="AN38" i="1"/>
  <c r="AJ38" i="1"/>
  <c r="AN34" i="1"/>
  <c r="AJ34" i="1"/>
  <c r="AN30" i="1"/>
  <c r="AJ30" i="1"/>
  <c r="BY29" i="1"/>
  <c r="BA29" i="1"/>
  <c r="BM29" i="1" s="1"/>
  <c r="AF29" i="1"/>
  <c r="AJ29" i="1"/>
  <c r="AN29" i="1"/>
  <c r="BA28" i="1"/>
  <c r="BM28" i="1" s="1"/>
  <c r="BY28" i="1"/>
  <c r="AG28" i="1"/>
  <c r="AP26" i="1"/>
  <c r="AY26" i="1"/>
  <c r="BK26" i="1" s="1"/>
  <c r="BW26" i="1"/>
  <c r="BB26" i="1"/>
  <c r="BN26" i="1" s="1"/>
  <c r="BZ26" i="1"/>
  <c r="AM25" i="1"/>
  <c r="AQ25" i="1"/>
  <c r="AZ25" i="1"/>
  <c r="BL25" i="1" s="1"/>
  <c r="BX25" i="1"/>
  <c r="AY23" i="1"/>
  <c r="BK23" i="1" s="1"/>
  <c r="BC22" i="1"/>
  <c r="BO22" i="1"/>
  <c r="CA22" i="1"/>
  <c r="CG19" i="1"/>
  <c r="BX17" i="1"/>
  <c r="CB17" i="1"/>
  <c r="BP16" i="1"/>
  <c r="CB16" i="1"/>
  <c r="BC15" i="1"/>
  <c r="BO15" i="1"/>
  <c r="CA15" i="1"/>
  <c r="AT14" i="1"/>
  <c r="CD14" i="1"/>
  <c r="BF14" i="1"/>
  <c r="BR14" i="1" s="1"/>
  <c r="AU26" i="1"/>
  <c r="BG26" i="1"/>
  <c r="BS26" i="1" s="1"/>
  <c r="CE26" i="1"/>
  <c r="CA21" i="1"/>
  <c r="AF20" i="1"/>
  <c r="AJ20" i="1"/>
  <c r="AN20" i="1"/>
  <c r="AK20" i="1"/>
  <c r="AO20" i="1"/>
  <c r="AQ17" i="1"/>
  <c r="AZ17" i="1"/>
  <c r="BL17" i="1" s="1"/>
  <c r="BH16" i="1"/>
  <c r="BT16" i="1" s="1"/>
  <c r="BH12" i="1"/>
  <c r="BT12" i="1" s="1"/>
  <c r="CF12" i="1"/>
  <c r="BC12" i="1"/>
  <c r="BO12" i="1"/>
  <c r="CA12" i="1"/>
  <c r="BA10" i="1"/>
  <c r="BM10" i="1" s="1"/>
  <c r="AR10" i="1"/>
  <c r="BY10" i="1"/>
  <c r="AG10" i="1"/>
  <c r="AH10" i="1"/>
  <c r="AN25" i="1"/>
  <c r="AJ25" i="1"/>
  <c r="AN21" i="1"/>
  <c r="AJ21" i="1"/>
  <c r="CD19" i="1"/>
  <c r="AK19" i="1"/>
  <c r="AO19" i="1"/>
  <c r="AY17" i="1"/>
  <c r="BK17" i="1" s="1"/>
  <c r="BW17" i="1"/>
  <c r="BE14" i="1"/>
  <c r="BQ14" i="1"/>
  <c r="CC14" i="1"/>
  <c r="BB11" i="1"/>
  <c r="BN11" i="1" s="1"/>
  <c r="BZ11" i="1"/>
  <c r="AH11" i="1"/>
  <c r="AL11" i="1"/>
  <c r="AG11" i="1"/>
  <c r="AM11" i="1"/>
  <c r="AW11" i="1" s="1"/>
  <c r="AF11" i="1"/>
  <c r="AK11" i="1"/>
  <c r="AJ11" i="1"/>
  <c r="AX11" i="1"/>
  <c r="BJ11" i="1" s="1"/>
  <c r="BV11" i="1"/>
  <c r="AI11" i="1"/>
  <c r="AM5" i="1"/>
  <c r="AW5" i="1" s="1"/>
  <c r="AY5" i="1"/>
  <c r="BW5" i="1"/>
  <c r="AP5" i="1"/>
  <c r="BB5" i="1"/>
  <c r="BZ5" i="1"/>
  <c r="AS5" i="1"/>
  <c r="AU17" i="1"/>
  <c r="BG17" i="1"/>
  <c r="BS17" i="1" s="1"/>
  <c r="CE17" i="1"/>
  <c r="AZ16" i="1"/>
  <c r="BL16" i="1" s="1"/>
  <c r="BX16" i="1"/>
  <c r="AM16" i="1"/>
  <c r="AQ16" i="1"/>
  <c r="AT13" i="1"/>
  <c r="BF13" i="1"/>
  <c r="BR13" i="1" s="1"/>
  <c r="CD13" i="1"/>
  <c r="AM12" i="1"/>
  <c r="AY12" i="1"/>
  <c r="BK12" i="1" s="1"/>
  <c r="BW12" i="1"/>
  <c r="AP12" i="1"/>
  <c r="BB12" i="1"/>
  <c r="BN12" i="1" s="1"/>
  <c r="BZ12" i="1"/>
  <c r="BE9" i="1"/>
  <c r="AZ9" i="1"/>
  <c r="BL9" i="1" s="1"/>
  <c r="BX9" i="1"/>
  <c r="BO7" i="1"/>
  <c r="CA7" i="1"/>
  <c r="BC7" i="1"/>
  <c r="BG6" i="1"/>
  <c r="CE6" i="1"/>
  <c r="BC6" i="1"/>
  <c r="BO6" i="1"/>
  <c r="CA6" i="1"/>
  <c r="BI14" i="1"/>
  <c r="BU14" i="1" s="1"/>
  <c r="CG14" i="1"/>
  <c r="AV14" i="1"/>
  <c r="BA14" i="1"/>
  <c r="BM14" i="1" s="1"/>
  <c r="BY14" i="1"/>
  <c r="AR14" i="1"/>
  <c r="BB13" i="1"/>
  <c r="BN13" i="1" s="1"/>
  <c r="BZ13" i="1"/>
  <c r="AS13" i="1"/>
  <c r="AH13" i="1"/>
  <c r="AL13" i="1"/>
  <c r="AX13" i="1"/>
  <c r="BJ13" i="1" s="1"/>
  <c r="BV13" i="1"/>
  <c r="AK13" i="1"/>
  <c r="AO13" i="1"/>
  <c r="CD8" i="1"/>
  <c r="AT8" i="1"/>
  <c r="BF7" i="1"/>
  <c r="CD7" i="1"/>
  <c r="AP7" i="1"/>
  <c r="AM7" i="1"/>
  <c r="BW7" i="1"/>
  <c r="AS7" i="1"/>
  <c r="BB7" i="1"/>
  <c r="BN7" i="1" s="1"/>
  <c r="BZ7" i="1"/>
  <c r="AN16" i="1"/>
  <c r="AJ16" i="1"/>
  <c r="AM14" i="1"/>
  <c r="AK14" i="1"/>
  <c r="AO14" i="1"/>
  <c r="AF14" i="1"/>
  <c r="AJ14" i="1"/>
  <c r="AN14" i="1"/>
  <c r="AN13" i="1"/>
  <c r="AF13" i="1"/>
  <c r="BX12" i="1"/>
  <c r="AZ12" i="1"/>
  <c r="BL12" i="1" s="1"/>
  <c r="AU12" i="1"/>
  <c r="CG10" i="1"/>
  <c r="BF8" i="1"/>
  <c r="BR8" i="1" s="1"/>
  <c r="BX14" i="1"/>
  <c r="BY13" i="1"/>
  <c r="CD12" i="1"/>
  <c r="BV12" i="1"/>
  <c r="BF12" i="1"/>
  <c r="BR12" i="1" s="1"/>
  <c r="AX12" i="1"/>
  <c r="BJ12" i="1" s="1"/>
  <c r="AL12" i="1"/>
  <c r="BG10" i="1"/>
  <c r="BS10" i="1" s="1"/>
  <c r="BC10" i="1"/>
  <c r="BO10" i="1"/>
  <c r="CA10" i="1"/>
  <c r="BP8" i="1"/>
  <c r="AP6" i="1"/>
  <c r="AM6" i="1"/>
  <c r="AY6" i="1"/>
  <c r="BK6" i="1" s="1"/>
  <c r="BW6" i="1"/>
  <c r="BB6" i="1"/>
  <c r="BN6" i="1" s="1"/>
  <c r="BZ6" i="1"/>
  <c r="AM10" i="1"/>
  <c r="AY10" i="1"/>
  <c r="BK10" i="1" s="1"/>
  <c r="BW10" i="1"/>
  <c r="BA9" i="1"/>
  <c r="BM9" i="1" s="1"/>
  <c r="AF9" i="1"/>
  <c r="AJ9" i="1"/>
  <c r="AN9" i="1"/>
  <c r="AW9" i="1" s="1"/>
  <c r="AJ8" i="1"/>
  <c r="AN8" i="1"/>
  <c r="AN86" i="1" s="1"/>
  <c r="AK8" i="1"/>
  <c r="AO8" i="1"/>
  <c r="AG7" i="1"/>
  <c r="AK7" i="1"/>
  <c r="AO7" i="1"/>
  <c r="AH7" i="1"/>
  <c r="AL7" i="1"/>
  <c r="AX7" i="1"/>
  <c r="BV7" i="1"/>
  <c r="AS6" i="1"/>
  <c r="BH5" i="1"/>
  <c r="CF5" i="1"/>
  <c r="BD5" i="1"/>
  <c r="BP5" i="1"/>
  <c r="CB5" i="1"/>
  <c r="BH9" i="1" l="1"/>
  <c r="BT9" i="1" s="1"/>
  <c r="AW10" i="1"/>
  <c r="CG8" i="1"/>
  <c r="CE10" i="1"/>
  <c r="AV10" i="1"/>
  <c r="CG15" i="1"/>
  <c r="CC9" i="1"/>
  <c r="BO34" i="1"/>
  <c r="AU39" i="1"/>
  <c r="CG20" i="1"/>
  <c r="AR43" i="1"/>
  <c r="AW47" i="1"/>
  <c r="CG57" i="1"/>
  <c r="BF65" i="1"/>
  <c r="BR65" i="1" s="1"/>
  <c r="CD65" i="1"/>
  <c r="CE45" i="1"/>
  <c r="AW56" i="1"/>
  <c r="AT56" i="1"/>
  <c r="CB80" i="1"/>
  <c r="AW15" i="1"/>
  <c r="BE29" i="1"/>
  <c r="BD84" i="1"/>
  <c r="BQ31" i="1"/>
  <c r="CD26" i="1"/>
  <c r="BI73" i="1"/>
  <c r="BU73" i="1" s="1"/>
  <c r="AV39" i="1"/>
  <c r="BF42" i="1"/>
  <c r="BR42" i="1" s="1"/>
  <c r="CC81" i="1"/>
  <c r="BQ39" i="1"/>
  <c r="BF39" i="1"/>
  <c r="BR39" i="1" s="1"/>
  <c r="CF10" i="1"/>
  <c r="CD39" i="1"/>
  <c r="AW27" i="1"/>
  <c r="AW43" i="1"/>
  <c r="AW57" i="1"/>
  <c r="BI42" i="1"/>
  <c r="BU42" i="1" s="1"/>
  <c r="CC47" i="1"/>
  <c r="BA83" i="1"/>
  <c r="BM83" i="1" s="1"/>
  <c r="BP84" i="1"/>
  <c r="BD31" i="1"/>
  <c r="AF83" i="1"/>
  <c r="BE44" i="1"/>
  <c r="AV31" i="1"/>
  <c r="AR16" i="1"/>
  <c r="BF19" i="1"/>
  <c r="BR19" i="1" s="1"/>
  <c r="BG77" i="1"/>
  <c r="BS77" i="1" s="1"/>
  <c r="AT26" i="1"/>
  <c r="AW13" i="1"/>
  <c r="BO21" i="1"/>
  <c r="BH22" i="1"/>
  <c r="BT22" i="1" s="1"/>
  <c r="CF42" i="1"/>
  <c r="AF43" i="1"/>
  <c r="CA43" i="1" s="1"/>
  <c r="BQ44" i="1"/>
  <c r="BG73" i="1"/>
  <c r="BS73" i="1" s="1"/>
  <c r="BI20" i="1"/>
  <c r="BU20" i="1" s="1"/>
  <c r="CG24" i="1"/>
  <c r="BY43" i="1"/>
  <c r="CE60" i="1"/>
  <c r="BE17" i="1"/>
  <c r="BO38" i="1"/>
  <c r="BH68" i="1"/>
  <c r="BT68" i="1" s="1"/>
  <c r="AF16" i="1"/>
  <c r="BA17" i="1"/>
  <c r="BM17" i="1" s="1"/>
  <c r="AU35" i="1"/>
  <c r="AU59" i="1"/>
  <c r="CG42" i="1"/>
  <c r="CG30" i="1"/>
  <c r="AV54" i="1"/>
  <c r="BC80" i="1"/>
  <c r="AW84" i="1"/>
  <c r="BP13" i="1"/>
  <c r="BI21" i="1"/>
  <c r="BU21" i="1" s="1"/>
  <c r="CG45" i="1"/>
  <c r="CC12" i="1"/>
  <c r="CF81" i="1"/>
  <c r="AV21" i="1"/>
  <c r="CF69" i="1"/>
  <c r="AV45" i="1"/>
  <c r="AW7" i="1"/>
  <c r="AU60" i="1"/>
  <c r="BQ30" i="1"/>
  <c r="CA82" i="1"/>
  <c r="BI38" i="1"/>
  <c r="BU38" i="1" s="1"/>
  <c r="BD39" i="1"/>
  <c r="BD8" i="1"/>
  <c r="CB14" i="1"/>
  <c r="AF17" i="1"/>
  <c r="BO17" i="1" s="1"/>
  <c r="AT57" i="1"/>
  <c r="AV30" i="1"/>
  <c r="CC80" i="1"/>
  <c r="BE45" i="1"/>
  <c r="CB6" i="1"/>
  <c r="BQ69" i="1"/>
  <c r="AW6" i="1"/>
  <c r="AR8" i="1"/>
  <c r="AM17" i="1"/>
  <c r="AW17" i="1" s="1"/>
  <c r="CF34" i="1"/>
  <c r="CE47" i="1"/>
  <c r="BP57" i="1"/>
  <c r="CD69" i="1"/>
  <c r="BC44" i="1"/>
  <c r="AU46" i="1"/>
  <c r="CD56" i="1"/>
  <c r="AV44" i="1"/>
  <c r="AW60" i="1"/>
  <c r="CB9" i="1"/>
  <c r="BE30" i="1"/>
  <c r="BF33" i="1"/>
  <c r="BR33" i="1" s="1"/>
  <c r="CF76" i="1"/>
  <c r="CE81" i="1"/>
  <c r="CB68" i="1"/>
  <c r="AW81" i="1"/>
  <c r="CB72" i="1"/>
  <c r="BQ53" i="1"/>
  <c r="CB39" i="1"/>
  <c r="CG39" i="1"/>
  <c r="CF65" i="1"/>
  <c r="BH29" i="1"/>
  <c r="BT29" i="1" s="1"/>
  <c r="AW48" i="1"/>
  <c r="BP6" i="1"/>
  <c r="AW46" i="1"/>
  <c r="BE39" i="1"/>
  <c r="BE69" i="1"/>
  <c r="CG33" i="1"/>
  <c r="CE69" i="1"/>
  <c r="AT78" i="1"/>
  <c r="BO50" i="1"/>
  <c r="BP72" i="1"/>
  <c r="BP45" i="1"/>
  <c r="BY16" i="1"/>
  <c r="BQ80" i="1"/>
  <c r="AW25" i="1"/>
  <c r="AV5" i="1"/>
  <c r="BH21" i="1"/>
  <c r="BT21" i="1" s="1"/>
  <c r="AU22" i="1"/>
  <c r="CB57" i="1"/>
  <c r="AV29" i="1"/>
  <c r="BI59" i="1"/>
  <c r="BU59" i="1" s="1"/>
  <c r="CD57" i="1"/>
  <c r="CA81" i="1"/>
  <c r="BF78" i="1"/>
  <c r="BR78" i="1" s="1"/>
  <c r="CB30" i="1"/>
  <c r="CG44" i="1"/>
  <c r="BE47" i="1"/>
  <c r="CG54" i="1"/>
  <c r="BQ58" i="1"/>
  <c r="AW40" i="1"/>
  <c r="CA50" i="1"/>
  <c r="AW63" i="1"/>
  <c r="CB76" i="1"/>
  <c r="BC61" i="1"/>
  <c r="BE76" i="1"/>
  <c r="CD68" i="1"/>
  <c r="BI6" i="1"/>
  <c r="BU6" i="1" s="1"/>
  <c r="CF61" i="1"/>
  <c r="BH61" i="1"/>
  <c r="BT61" i="1" s="1"/>
  <c r="AU78" i="1"/>
  <c r="BG78" i="1"/>
  <c r="BS78" i="1" s="1"/>
  <c r="AW58" i="1"/>
  <c r="AV79" i="1"/>
  <c r="AW62" i="1"/>
  <c r="BP80" i="1"/>
  <c r="BG65" i="1"/>
  <c r="BS65" i="1" s="1"/>
  <c r="BO72" i="1"/>
  <c r="AW20" i="1"/>
  <c r="BF32" i="1"/>
  <c r="BR32" i="1" s="1"/>
  <c r="BO47" i="1"/>
  <c r="AW65" i="1"/>
  <c r="AW69" i="1"/>
  <c r="BG81" i="1"/>
  <c r="BS81" i="1" s="1"/>
  <c r="CA61" i="1"/>
  <c r="BP22" i="1"/>
  <c r="BA26" i="1"/>
  <c r="BM26" i="1" s="1"/>
  <c r="CE78" i="1"/>
  <c r="BQ51" i="1"/>
  <c r="CB45" i="1"/>
  <c r="AT68" i="1"/>
  <c r="AW82" i="1"/>
  <c r="BP14" i="1"/>
  <c r="BG15" i="1"/>
  <c r="BS15" i="1" s="1"/>
  <c r="CG16" i="1"/>
  <c r="CE22" i="1"/>
  <c r="AW28" i="1"/>
  <c r="BI33" i="1"/>
  <c r="BU33" i="1" s="1"/>
  <c r="AM55" i="1"/>
  <c r="AW55" i="1" s="1"/>
  <c r="CG29" i="1"/>
  <c r="CC8" i="1"/>
  <c r="AU15" i="1"/>
  <c r="AV16" i="1"/>
  <c r="AW50" i="1"/>
  <c r="AW23" i="1"/>
  <c r="AW77" i="1"/>
  <c r="AW83" i="1"/>
  <c r="AU65" i="1"/>
  <c r="AW71" i="1"/>
  <c r="AW45" i="1"/>
  <c r="BO83" i="1"/>
  <c r="BQ6" i="1"/>
  <c r="AV15" i="1"/>
  <c r="CC76" i="1"/>
  <c r="CG6" i="1"/>
  <c r="CF17" i="1"/>
  <c r="BH17" i="1"/>
  <c r="BT17" i="1" s="1"/>
  <c r="BE12" i="1"/>
  <c r="BC16" i="1"/>
  <c r="BI19" i="1"/>
  <c r="BU19" i="1" s="1"/>
  <c r="BD29" i="1"/>
  <c r="CB13" i="1"/>
  <c r="BP47" i="1"/>
  <c r="AW75" i="1"/>
  <c r="BP68" i="1"/>
  <c r="BE53" i="1"/>
  <c r="AV22" i="1"/>
  <c r="CG38" i="1"/>
  <c r="CB51" i="1"/>
  <c r="CF26" i="1"/>
  <c r="BH26" i="1"/>
  <c r="BT26" i="1" s="1"/>
  <c r="BA19" i="1"/>
  <c r="BM19" i="1" s="1"/>
  <c r="BY19" i="1"/>
  <c r="AR19" i="1"/>
  <c r="CC22" i="1"/>
  <c r="CH22" i="1" s="1"/>
  <c r="BQ22" i="1"/>
  <c r="BE22" i="1"/>
  <c r="AM8" i="1"/>
  <c r="AW8" i="1" s="1"/>
  <c r="BA8" i="1"/>
  <c r="BM8" i="1" s="1"/>
  <c r="AV8" i="1"/>
  <c r="BE8" i="1"/>
  <c r="AV24" i="1"/>
  <c r="BP43" i="1"/>
  <c r="AU51" i="1"/>
  <c r="BG59" i="1"/>
  <c r="BS59" i="1" s="1"/>
  <c r="BH44" i="1"/>
  <c r="BT44" i="1" s="1"/>
  <c r="AU45" i="1"/>
  <c r="BD79" i="1"/>
  <c r="AW66" i="1"/>
  <c r="AV59" i="1"/>
  <c r="AW21" i="1"/>
  <c r="BP54" i="1"/>
  <c r="CC59" i="1"/>
  <c r="BO80" i="1"/>
  <c r="AV9" i="1"/>
  <c r="BD15" i="1"/>
  <c r="BQ17" i="1"/>
  <c r="AF19" i="1"/>
  <c r="BO19" i="1" s="1"/>
  <c r="AW35" i="1"/>
  <c r="CA38" i="1"/>
  <c r="BQ79" i="1"/>
  <c r="BQ41" i="1"/>
  <c r="BE59" i="1"/>
  <c r="BO82" i="1"/>
  <c r="AT9" i="1"/>
  <c r="BQ45" i="1"/>
  <c r="CG81" i="1"/>
  <c r="BE51" i="1"/>
  <c r="BP19" i="1"/>
  <c r="CB19" i="1"/>
  <c r="BD19" i="1"/>
  <c r="AR26" i="1"/>
  <c r="BY26" i="1"/>
  <c r="BQ65" i="1"/>
  <c r="CC65" i="1"/>
  <c r="BE65" i="1"/>
  <c r="AU13" i="1"/>
  <c r="CE13" i="1"/>
  <c r="CD20" i="1"/>
  <c r="AT20" i="1"/>
  <c r="BF20" i="1"/>
  <c r="BR20" i="1" s="1"/>
  <c r="AV64" i="1"/>
  <c r="CG64" i="1"/>
  <c r="AV76" i="1"/>
  <c r="BI76" i="1"/>
  <c r="BU76" i="1" s="1"/>
  <c r="CB81" i="1"/>
  <c r="BP81" i="1"/>
  <c r="BD81" i="1"/>
  <c r="BF22" i="1"/>
  <c r="BR22" i="1" s="1"/>
  <c r="AT22" i="1"/>
  <c r="CD22" i="1"/>
  <c r="BP26" i="1"/>
  <c r="CB26" i="1"/>
  <c r="BD26" i="1"/>
  <c r="BE16" i="1"/>
  <c r="BQ16" i="1"/>
  <c r="CC15" i="1"/>
  <c r="CH15" i="1" s="1"/>
  <c r="BQ15" i="1"/>
  <c r="BI9" i="1"/>
  <c r="BU9" i="1" s="1"/>
  <c r="CD33" i="1"/>
  <c r="CC16" i="1"/>
  <c r="AF8" i="1"/>
  <c r="CA8" i="1" s="1"/>
  <c r="BP17" i="1"/>
  <c r="AW29" i="1"/>
  <c r="AW34" i="1"/>
  <c r="AM24" i="1"/>
  <c r="AW24" i="1" s="1"/>
  <c r="BF69" i="1"/>
  <c r="BR69" i="1" s="1"/>
  <c r="AW33" i="1"/>
  <c r="AW37" i="1"/>
  <c r="AW67" i="1"/>
  <c r="AM19" i="1"/>
  <c r="AW19" i="1" s="1"/>
  <c r="BI22" i="1"/>
  <c r="BU22" i="1" s="1"/>
  <c r="AW41" i="1"/>
  <c r="BD51" i="1"/>
  <c r="AV26" i="1"/>
  <c r="BI26" i="1"/>
  <c r="BU26" i="1" s="1"/>
  <c r="CG26" i="1"/>
  <c r="BG19" i="1"/>
  <c r="BS19" i="1" s="1"/>
  <c r="AU19" i="1"/>
  <c r="BH73" i="1"/>
  <c r="BT73" i="1" s="1"/>
  <c r="CF73" i="1"/>
  <c r="BO55" i="1"/>
  <c r="BC55" i="1"/>
  <c r="CA55" i="1"/>
  <c r="AV34" i="1"/>
  <c r="CG34" i="1"/>
  <c r="BI34" i="1"/>
  <c r="BU34" i="1" s="1"/>
  <c r="AU68" i="1"/>
  <c r="CE68" i="1"/>
  <c r="BG68" i="1"/>
  <c r="BS68" i="1" s="1"/>
  <c r="AR54" i="1"/>
  <c r="BY54" i="1"/>
  <c r="BA54" i="1"/>
  <c r="BM54" i="1" s="1"/>
  <c r="BH77" i="1"/>
  <c r="BT77" i="1" s="1"/>
  <c r="CF77" i="1"/>
  <c r="AW38" i="1"/>
  <c r="CB58" i="1"/>
  <c r="BG69" i="1"/>
  <c r="BS69" i="1" s="1"/>
  <c r="AU77" i="1"/>
  <c r="AT50" i="1"/>
  <c r="BF50" i="1"/>
  <c r="BR50" i="1" s="1"/>
  <c r="CD50" i="1"/>
  <c r="AT59" i="1"/>
  <c r="BF59" i="1"/>
  <c r="BR59" i="1" s="1"/>
  <c r="CD59" i="1"/>
  <c r="BE77" i="1"/>
  <c r="BQ77" i="1"/>
  <c r="CC77" i="1"/>
  <c r="AV55" i="1"/>
  <c r="BI55" i="1"/>
  <c r="BU55" i="1" s="1"/>
  <c r="CG55" i="1"/>
  <c r="BC68" i="1"/>
  <c r="BO68" i="1"/>
  <c r="CA68" i="1"/>
  <c r="AW72" i="1"/>
  <c r="BE26" i="1"/>
  <c r="BQ26" i="1"/>
  <c r="CC26" i="1"/>
  <c r="BI35" i="1"/>
  <c r="BU35" i="1" s="1"/>
  <c r="CG35" i="1"/>
  <c r="AV35" i="1"/>
  <c r="BP35" i="1"/>
  <c r="CB35" i="1"/>
  <c r="AR55" i="1"/>
  <c r="BA55" i="1"/>
  <c r="BM55" i="1" s="1"/>
  <c r="BY55" i="1"/>
  <c r="BD73" i="1"/>
  <c r="BP73" i="1"/>
  <c r="CB73" i="1"/>
  <c r="CA25" i="1"/>
  <c r="CB59" i="1"/>
  <c r="CE12" i="1"/>
  <c r="BO25" i="1"/>
  <c r="BH38" i="1"/>
  <c r="BT38" i="1" s="1"/>
  <c r="CA44" i="1"/>
  <c r="BD35" i="1"/>
  <c r="BP58" i="1"/>
  <c r="BP59" i="1"/>
  <c r="AW64" i="1"/>
  <c r="BP9" i="1"/>
  <c r="CC29" i="1"/>
  <c r="AW36" i="1"/>
  <c r="CF64" i="1"/>
  <c r="BD76" i="1"/>
  <c r="AV72" i="1"/>
  <c r="BI72" i="1"/>
  <c r="BU72" i="1" s="1"/>
  <c r="CG72" i="1"/>
  <c r="AU82" i="1"/>
  <c r="BG82" i="1"/>
  <c r="BS82" i="1" s="1"/>
  <c r="CD34" i="1"/>
  <c r="AT34" i="1"/>
  <c r="BF34" i="1"/>
  <c r="BR34" i="1" s="1"/>
  <c r="AT72" i="1"/>
  <c r="BF72" i="1"/>
  <c r="BR72" i="1" s="1"/>
  <c r="CD72" i="1"/>
  <c r="AT79" i="1"/>
  <c r="BF79" i="1"/>
  <c r="BR79" i="1" s="1"/>
  <c r="BF83" i="1"/>
  <c r="BR83" i="1" s="1"/>
  <c r="AT83" i="1"/>
  <c r="BQ55" i="1"/>
  <c r="BE55" i="1"/>
  <c r="CC55" i="1"/>
  <c r="AV68" i="1"/>
  <c r="BI68" i="1"/>
  <c r="BU68" i="1" s="1"/>
  <c r="CG68" i="1"/>
  <c r="CD81" i="1"/>
  <c r="BF81" i="1"/>
  <c r="BR81" i="1" s="1"/>
  <c r="AT81" i="1"/>
  <c r="AV80" i="1"/>
  <c r="BI80" i="1"/>
  <c r="BU80" i="1" s="1"/>
  <c r="AT44" i="1"/>
  <c r="BF44" i="1"/>
  <c r="BR44" i="1" s="1"/>
  <c r="CD44" i="1"/>
  <c r="BD55" i="1"/>
  <c r="BP55" i="1"/>
  <c r="CB55" i="1"/>
  <c r="CE48" i="1"/>
  <c r="AU48" i="1"/>
  <c r="BD77" i="1"/>
  <c r="BP77" i="1"/>
  <c r="CB77" i="1"/>
  <c r="AT80" i="1"/>
  <c r="BF80" i="1"/>
  <c r="BR80" i="1" s="1"/>
  <c r="CD80" i="1"/>
  <c r="AW51" i="1"/>
  <c r="AT38" i="1"/>
  <c r="CD38" i="1"/>
  <c r="BF38" i="1"/>
  <c r="BR38" i="1" s="1"/>
  <c r="CF45" i="1"/>
  <c r="BH45" i="1"/>
  <c r="BT45" i="1" s="1"/>
  <c r="AW14" i="1"/>
  <c r="CG5" i="1"/>
  <c r="CH5" i="1" s="1"/>
  <c r="AW12" i="1"/>
  <c r="AW59" i="1"/>
  <c r="AW80" i="1"/>
  <c r="BG48" i="1"/>
  <c r="BS48" i="1" s="1"/>
  <c r="AW79" i="1"/>
  <c r="BQ5" i="1"/>
  <c r="BE5" i="1"/>
  <c r="BP12" i="1"/>
  <c r="CB12" i="1"/>
  <c r="BD12" i="1"/>
  <c r="AV25" i="1"/>
  <c r="CG25" i="1"/>
  <c r="BI25" i="1"/>
  <c r="BU25" i="1" s="1"/>
  <c r="CD29" i="1"/>
  <c r="BF29" i="1"/>
  <c r="BR29" i="1" s="1"/>
  <c r="AT29" i="1"/>
  <c r="AV50" i="1"/>
  <c r="BI50" i="1"/>
  <c r="BU50" i="1" s="1"/>
  <c r="CG50" i="1"/>
  <c r="CC35" i="1"/>
  <c r="CH35" i="1" s="1"/>
  <c r="BE35" i="1"/>
  <c r="BQ35" i="1"/>
  <c r="CF51" i="1"/>
  <c r="BH51" i="1"/>
  <c r="BT51" i="1" s="1"/>
  <c r="BD65" i="1"/>
  <c r="BP65" i="1"/>
  <c r="CB65" i="1"/>
  <c r="BD69" i="1"/>
  <c r="BP69" i="1"/>
  <c r="CB69" i="1"/>
  <c r="BF55" i="1"/>
  <c r="BR55" i="1" s="1"/>
  <c r="CD55" i="1"/>
  <c r="AT55" i="1"/>
  <c r="BH55" i="1"/>
  <c r="BT55" i="1" s="1"/>
  <c r="CF55" i="1"/>
  <c r="BE73" i="1"/>
  <c r="BQ73" i="1"/>
  <c r="CC73" i="1"/>
  <c r="BE68" i="1"/>
  <c r="BQ68" i="1"/>
  <c r="CC68" i="1"/>
  <c r="AT54" i="1"/>
  <c r="BF54" i="1"/>
  <c r="BR54" i="1" s="1"/>
  <c r="CD54" i="1"/>
  <c r="BE54" i="1"/>
  <c r="CC54" i="1"/>
  <c r="BQ54" i="1"/>
  <c r="AF54" i="1"/>
  <c r="BF77" i="1"/>
  <c r="BR77" i="1" s="1"/>
  <c r="CD77" i="1"/>
  <c r="AT77" i="1"/>
  <c r="BC11" i="1"/>
  <c r="BO11" i="1"/>
  <c r="CA11" i="1"/>
  <c r="BQ11" i="1"/>
  <c r="CC11" i="1"/>
  <c r="BE11" i="1"/>
  <c r="BH19" i="1"/>
  <c r="BT19" i="1" s="1"/>
  <c r="CF19" i="1"/>
  <c r="AU25" i="1"/>
  <c r="BG25" i="1"/>
  <c r="BS25" i="1" s="1"/>
  <c r="CE25" i="1"/>
  <c r="BD28" i="1"/>
  <c r="BP28" i="1"/>
  <c r="CB28" i="1"/>
  <c r="AU29" i="1"/>
  <c r="CE29" i="1"/>
  <c r="BG29" i="1"/>
  <c r="BS29" i="1" s="1"/>
  <c r="AU30" i="1"/>
  <c r="BG30" i="1"/>
  <c r="BS30" i="1" s="1"/>
  <c r="CE30" i="1"/>
  <c r="AU38" i="1"/>
  <c r="BG38" i="1"/>
  <c r="BS38" i="1" s="1"/>
  <c r="CE38" i="1"/>
  <c r="AU54" i="1"/>
  <c r="BG54" i="1"/>
  <c r="BS54" i="1" s="1"/>
  <c r="CE54" i="1"/>
  <c r="BF24" i="1"/>
  <c r="BR24" i="1" s="1"/>
  <c r="CD24" i="1"/>
  <c r="AT24" i="1"/>
  <c r="BH24" i="1"/>
  <c r="BT24" i="1" s="1"/>
  <c r="CF24" i="1"/>
  <c r="BI69" i="1"/>
  <c r="BU69" i="1" s="1"/>
  <c r="CG69" i="1"/>
  <c r="AV69" i="1"/>
  <c r="BE27" i="1"/>
  <c r="BQ27" i="1"/>
  <c r="CC27" i="1"/>
  <c r="BD27" i="1"/>
  <c r="BP27" i="1"/>
  <c r="CB27" i="1"/>
  <c r="BD49" i="1"/>
  <c r="BP49" i="1"/>
  <c r="CB49" i="1"/>
  <c r="BH79" i="1"/>
  <c r="BT79" i="1" s="1"/>
  <c r="CF79" i="1"/>
  <c r="BX86" i="1"/>
  <c r="CC34" i="1"/>
  <c r="BE34" i="1"/>
  <c r="BQ34" i="1"/>
  <c r="CE67" i="1"/>
  <c r="AU67" i="1"/>
  <c r="BG67" i="1"/>
  <c r="BS67" i="1" s="1"/>
  <c r="BV86" i="1"/>
  <c r="AU8" i="1"/>
  <c r="BG8" i="1"/>
  <c r="BS8" i="1" s="1"/>
  <c r="CE8" i="1"/>
  <c r="AJ86" i="1"/>
  <c r="AU9" i="1"/>
  <c r="CE9" i="1"/>
  <c r="BG9" i="1"/>
  <c r="BS9" i="1" s="1"/>
  <c r="BC13" i="1"/>
  <c r="CA13" i="1"/>
  <c r="BO13" i="1"/>
  <c r="BI13" i="1"/>
  <c r="BU13" i="1" s="1"/>
  <c r="CG13" i="1"/>
  <c r="AV13" i="1"/>
  <c r="BN5" i="1"/>
  <c r="BN86" i="1" s="1"/>
  <c r="BB86" i="1"/>
  <c r="BK5" i="1"/>
  <c r="BK86" i="1" s="1"/>
  <c r="AY86" i="1"/>
  <c r="BH20" i="1"/>
  <c r="BT20" i="1" s="1"/>
  <c r="CF20" i="1"/>
  <c r="BO29" i="1"/>
  <c r="BC29" i="1"/>
  <c r="CA29" i="1"/>
  <c r="BC26" i="1"/>
  <c r="BO26" i="1"/>
  <c r="CA26" i="1"/>
  <c r="CA42" i="1"/>
  <c r="BC42" i="1"/>
  <c r="BO42" i="1"/>
  <c r="BE37" i="1"/>
  <c r="BQ37" i="1"/>
  <c r="CC37" i="1"/>
  <c r="BI46" i="1"/>
  <c r="BU46" i="1" s="1"/>
  <c r="CG46" i="1"/>
  <c r="AV46" i="1"/>
  <c r="BH46" i="1"/>
  <c r="BT46" i="1" s="1"/>
  <c r="CF46" i="1"/>
  <c r="CH31" i="1"/>
  <c r="BE33" i="1"/>
  <c r="BQ33" i="1"/>
  <c r="CC33" i="1"/>
  <c r="CE37" i="1"/>
  <c r="AU37" i="1"/>
  <c r="BG37" i="1"/>
  <c r="BS37" i="1" s="1"/>
  <c r="AV41" i="1"/>
  <c r="BI41" i="1"/>
  <c r="BU41" i="1" s="1"/>
  <c r="CG41" i="1"/>
  <c r="BH41" i="1"/>
  <c r="BT41" i="1" s="1"/>
  <c r="CF41" i="1"/>
  <c r="BE56" i="1"/>
  <c r="BQ56" i="1"/>
  <c r="CC56" i="1"/>
  <c r="CB56" i="1"/>
  <c r="BD56" i="1"/>
  <c r="BP56" i="1"/>
  <c r="CE58" i="1"/>
  <c r="AU58" i="1"/>
  <c r="BG58" i="1"/>
  <c r="BS58" i="1" s="1"/>
  <c r="BP61" i="1"/>
  <c r="BD61" i="1"/>
  <c r="CB61" i="1"/>
  <c r="BI23" i="1"/>
  <c r="BU23" i="1" s="1"/>
  <c r="CG23" i="1"/>
  <c r="AV23" i="1"/>
  <c r="CF23" i="1"/>
  <c r="BH23" i="1"/>
  <c r="BT23" i="1" s="1"/>
  <c r="BC49" i="1"/>
  <c r="BO49" i="1"/>
  <c r="CA49" i="1"/>
  <c r="AV53" i="1"/>
  <c r="BI53" i="1"/>
  <c r="BU53" i="1" s="1"/>
  <c r="CG53" i="1"/>
  <c r="BH53" i="1"/>
  <c r="BT53" i="1" s="1"/>
  <c r="CF53" i="1"/>
  <c r="BI61" i="1"/>
  <c r="BU61" i="1" s="1"/>
  <c r="CG61" i="1"/>
  <c r="AV61" i="1"/>
  <c r="AT62" i="1"/>
  <c r="BF62" i="1"/>
  <c r="BR62" i="1" s="1"/>
  <c r="CD62" i="1"/>
  <c r="BE67" i="1"/>
  <c r="BQ67" i="1"/>
  <c r="CC67" i="1"/>
  <c r="BF75" i="1"/>
  <c r="BR75" i="1" s="1"/>
  <c r="CD75" i="1"/>
  <c r="AT75" i="1"/>
  <c r="AT84" i="1"/>
  <c r="CD84" i="1"/>
  <c r="BF84" i="1"/>
  <c r="BR84" i="1" s="1"/>
  <c r="BQ42" i="1"/>
  <c r="CC42" i="1"/>
  <c r="BE42" i="1"/>
  <c r="BD50" i="1"/>
  <c r="BP50" i="1"/>
  <c r="CB50" i="1"/>
  <c r="BG52" i="1"/>
  <c r="BS52" i="1" s="1"/>
  <c r="CE52" i="1"/>
  <c r="AU52" i="1"/>
  <c r="BI52" i="1"/>
  <c r="BU52" i="1" s="1"/>
  <c r="CG52" i="1"/>
  <c r="AV52" i="1"/>
  <c r="CF52" i="1"/>
  <c r="BH52" i="1"/>
  <c r="BT52" i="1" s="1"/>
  <c r="BH60" i="1"/>
  <c r="BT60" i="1" s="1"/>
  <c r="CF60" i="1"/>
  <c r="AV60" i="1"/>
  <c r="CG60" i="1"/>
  <c r="BI60" i="1"/>
  <c r="BU60" i="1" s="1"/>
  <c r="CC72" i="1"/>
  <c r="BQ72" i="1"/>
  <c r="BE72" i="1"/>
  <c r="BI78" i="1"/>
  <c r="BU78" i="1" s="1"/>
  <c r="CG78" i="1"/>
  <c r="AV78" i="1"/>
  <c r="CF78" i="1"/>
  <c r="BH78" i="1"/>
  <c r="BT78" i="1" s="1"/>
  <c r="BI83" i="1"/>
  <c r="BU83" i="1" s="1"/>
  <c r="CG83" i="1"/>
  <c r="AV83" i="1"/>
  <c r="BL5" i="1"/>
  <c r="BL86" i="1" s="1"/>
  <c r="AZ86" i="1"/>
  <c r="BC19" i="1"/>
  <c r="BD34" i="1"/>
  <c r="BP34" i="1"/>
  <c r="CB34" i="1"/>
  <c r="AU75" i="1"/>
  <c r="BG75" i="1"/>
  <c r="BS75" i="1" s="1"/>
  <c r="CE75" i="1"/>
  <c r="BC36" i="1"/>
  <c r="BO36" i="1"/>
  <c r="CA36" i="1"/>
  <c r="BE36" i="1"/>
  <c r="BQ36" i="1"/>
  <c r="CC36" i="1"/>
  <c r="BP36" i="1"/>
  <c r="BD36" i="1"/>
  <c r="CB36" i="1"/>
  <c r="CA67" i="1"/>
  <c r="BC67" i="1"/>
  <c r="BO67" i="1"/>
  <c r="BJ7" i="1"/>
  <c r="BJ86" i="1" s="1"/>
  <c r="AX86" i="1"/>
  <c r="AO86" i="1"/>
  <c r="CA9" i="1"/>
  <c r="BO9" i="1"/>
  <c r="BC9" i="1"/>
  <c r="AV12" i="1"/>
  <c r="CG12" i="1"/>
  <c r="BI12" i="1"/>
  <c r="BU12" i="1" s="1"/>
  <c r="BH13" i="1"/>
  <c r="BT13" i="1" s="1"/>
  <c r="CF13" i="1"/>
  <c r="BE13" i="1"/>
  <c r="BQ13" i="1"/>
  <c r="CC13" i="1"/>
  <c r="AU11" i="1"/>
  <c r="BG11" i="1"/>
  <c r="BS11" i="1" s="1"/>
  <c r="CE11" i="1"/>
  <c r="BD11" i="1"/>
  <c r="BP11" i="1"/>
  <c r="CB11" i="1"/>
  <c r="AU21" i="1"/>
  <c r="BG21" i="1"/>
  <c r="BS21" i="1" s="1"/>
  <c r="CE21" i="1"/>
  <c r="BQ10" i="1"/>
  <c r="BE10" i="1"/>
  <c r="CC10" i="1"/>
  <c r="AU34" i="1"/>
  <c r="BG34" i="1"/>
  <c r="BS34" i="1" s="1"/>
  <c r="CE34" i="1"/>
  <c r="BI32" i="1"/>
  <c r="BU32" i="1" s="1"/>
  <c r="CG32" i="1"/>
  <c r="AV32" i="1"/>
  <c r="BH32" i="1"/>
  <c r="BT32" i="1" s="1"/>
  <c r="CF32" i="1"/>
  <c r="AU33" i="1"/>
  <c r="CE33" i="1"/>
  <c r="BG33" i="1"/>
  <c r="BS33" i="1" s="1"/>
  <c r="BD24" i="1"/>
  <c r="BP24" i="1"/>
  <c r="CB24" i="1"/>
  <c r="BH28" i="1"/>
  <c r="BT28" i="1" s="1"/>
  <c r="CF28" i="1"/>
  <c r="AU50" i="1"/>
  <c r="BG50" i="1"/>
  <c r="BS50" i="1" s="1"/>
  <c r="CE50" i="1"/>
  <c r="CC21" i="1"/>
  <c r="BE21" i="1"/>
  <c r="BQ21" i="1"/>
  <c r="AR24" i="1"/>
  <c r="BA24" i="1"/>
  <c r="BM24" i="1" s="1"/>
  <c r="BY24" i="1"/>
  <c r="AD86" i="1"/>
  <c r="CE24" i="1"/>
  <c r="AU24" i="1"/>
  <c r="BG24" i="1"/>
  <c r="BS24" i="1" s="1"/>
  <c r="BD37" i="1"/>
  <c r="BP37" i="1"/>
  <c r="CB37" i="1"/>
  <c r="BE46" i="1"/>
  <c r="BQ46" i="1"/>
  <c r="CC46" i="1"/>
  <c r="CB46" i="1"/>
  <c r="BP46" i="1"/>
  <c r="BD46" i="1"/>
  <c r="AV47" i="1"/>
  <c r="BI47" i="1"/>
  <c r="BU47" i="1" s="1"/>
  <c r="CG47" i="1"/>
  <c r="BI65" i="1"/>
  <c r="BU65" i="1" s="1"/>
  <c r="CG65" i="1"/>
  <c r="AV65" i="1"/>
  <c r="CC25" i="1"/>
  <c r="BQ25" i="1"/>
  <c r="BE25" i="1"/>
  <c r="BD33" i="1"/>
  <c r="BP33" i="1"/>
  <c r="CB33" i="1"/>
  <c r="BC37" i="1"/>
  <c r="BO37" i="1"/>
  <c r="CA37" i="1"/>
  <c r="BF41" i="1"/>
  <c r="BR41" i="1" s="1"/>
  <c r="AT41" i="1"/>
  <c r="CD41" i="1"/>
  <c r="BG43" i="1"/>
  <c r="BS43" i="1" s="1"/>
  <c r="AU43" i="1"/>
  <c r="CE43" i="1"/>
  <c r="BD53" i="1"/>
  <c r="BP53" i="1"/>
  <c r="CB53" i="1"/>
  <c r="BG57" i="1"/>
  <c r="BS57" i="1" s="1"/>
  <c r="AU57" i="1"/>
  <c r="CE57" i="1"/>
  <c r="BO58" i="1"/>
  <c r="CA58" i="1"/>
  <c r="BC58" i="1"/>
  <c r="AU64" i="1"/>
  <c r="BG64" i="1"/>
  <c r="BS64" i="1" s="1"/>
  <c r="CE64" i="1"/>
  <c r="AU76" i="1"/>
  <c r="BG76" i="1"/>
  <c r="BS76" i="1" s="1"/>
  <c r="CE76" i="1"/>
  <c r="BC23" i="1"/>
  <c r="BO23" i="1"/>
  <c r="CA23" i="1"/>
  <c r="BE23" i="1"/>
  <c r="BQ23" i="1"/>
  <c r="CC23" i="1"/>
  <c r="BP23" i="1"/>
  <c r="BD23" i="1"/>
  <c r="CB23" i="1"/>
  <c r="CE36" i="1"/>
  <c r="BG36" i="1"/>
  <c r="BS36" i="1" s="1"/>
  <c r="AU36" i="1"/>
  <c r="BF49" i="1"/>
  <c r="BR49" i="1" s="1"/>
  <c r="CD49" i="1"/>
  <c r="AT49" i="1"/>
  <c r="BH49" i="1"/>
  <c r="BT49" i="1" s="1"/>
  <c r="CF49" i="1"/>
  <c r="BF53" i="1"/>
  <c r="BR53" i="1" s="1"/>
  <c r="AT53" i="1"/>
  <c r="CD53" i="1"/>
  <c r="AT61" i="1"/>
  <c r="BF61" i="1"/>
  <c r="BR61" i="1" s="1"/>
  <c r="CD61" i="1"/>
  <c r="BQ61" i="1"/>
  <c r="BE61" i="1"/>
  <c r="CC61" i="1"/>
  <c r="AT66" i="1"/>
  <c r="BF66" i="1"/>
  <c r="BR66" i="1" s="1"/>
  <c r="CD66" i="1"/>
  <c r="BE71" i="1"/>
  <c r="BQ71" i="1"/>
  <c r="CC71" i="1"/>
  <c r="AW76" i="1"/>
  <c r="BI82" i="1"/>
  <c r="BU82" i="1" s="1"/>
  <c r="CG82" i="1"/>
  <c r="AV82" i="1"/>
  <c r="BH82" i="1"/>
  <c r="BT82" i="1" s="1"/>
  <c r="CF82" i="1"/>
  <c r="CF83" i="1"/>
  <c r="BH83" i="1"/>
  <c r="BT83" i="1" s="1"/>
  <c r="BD71" i="1"/>
  <c r="BP71" i="1"/>
  <c r="CB71" i="1"/>
  <c r="BD42" i="1"/>
  <c r="BP42" i="1"/>
  <c r="CB42" i="1"/>
  <c r="BH71" i="1"/>
  <c r="BT71" i="1" s="1"/>
  <c r="CF71" i="1"/>
  <c r="BI48" i="1"/>
  <c r="BU48" i="1" s="1"/>
  <c r="CG48" i="1"/>
  <c r="AV48" i="1"/>
  <c r="CF48" i="1"/>
  <c r="BH48" i="1"/>
  <c r="BT48" i="1" s="1"/>
  <c r="AT52" i="1"/>
  <c r="BF52" i="1"/>
  <c r="BR52" i="1" s="1"/>
  <c r="CD52" i="1"/>
  <c r="BE52" i="1"/>
  <c r="BQ52" i="1"/>
  <c r="CC52" i="1"/>
  <c r="BD52" i="1"/>
  <c r="BP52" i="1"/>
  <c r="CB52" i="1"/>
  <c r="BC60" i="1"/>
  <c r="CA60" i="1"/>
  <c r="BO60" i="1"/>
  <c r="BQ60" i="1"/>
  <c r="CC60" i="1"/>
  <c r="BE60" i="1"/>
  <c r="CC64" i="1"/>
  <c r="BE64" i="1"/>
  <c r="BQ64" i="1"/>
  <c r="BD66" i="1"/>
  <c r="CB66" i="1"/>
  <c r="BP66" i="1"/>
  <c r="BP70" i="1"/>
  <c r="BD70" i="1"/>
  <c r="CB70" i="1"/>
  <c r="AU74" i="1"/>
  <c r="BG74" i="1"/>
  <c r="BS74" i="1" s="1"/>
  <c r="CE74" i="1"/>
  <c r="BE78" i="1"/>
  <c r="BQ78" i="1"/>
  <c r="CC78" i="1"/>
  <c r="BD78" i="1"/>
  <c r="CB78" i="1"/>
  <c r="BP78" i="1"/>
  <c r="BG79" i="1"/>
  <c r="BS79" i="1" s="1"/>
  <c r="CE79" i="1"/>
  <c r="AU79" i="1"/>
  <c r="CC84" i="1"/>
  <c r="BQ84" i="1"/>
  <c r="BE84" i="1"/>
  <c r="AQ86" i="1"/>
  <c r="BG40" i="1"/>
  <c r="BS40" i="1" s="1"/>
  <c r="AU40" i="1"/>
  <c r="CE40" i="1"/>
  <c r="BI40" i="1"/>
  <c r="BU40" i="1" s="1"/>
  <c r="CG40" i="1"/>
  <c r="AV40" i="1"/>
  <c r="CF40" i="1"/>
  <c r="BH40" i="1"/>
  <c r="BT40" i="1" s="1"/>
  <c r="AW44" i="1"/>
  <c r="AV67" i="1"/>
  <c r="BI67" i="1"/>
  <c r="BU67" i="1" s="1"/>
  <c r="CG67" i="1"/>
  <c r="BI70" i="1"/>
  <c r="BU70" i="1" s="1"/>
  <c r="CG70" i="1"/>
  <c r="AV70" i="1"/>
  <c r="BH70" i="1"/>
  <c r="BT70" i="1" s="1"/>
  <c r="CF70" i="1"/>
  <c r="BO75" i="1"/>
  <c r="CA75" i="1"/>
  <c r="BC75" i="1"/>
  <c r="CE63" i="1"/>
  <c r="BG63" i="1"/>
  <c r="BS63" i="1" s="1"/>
  <c r="AU63" i="1"/>
  <c r="BH67" i="1"/>
  <c r="BT67" i="1" s="1"/>
  <c r="CF67" i="1"/>
  <c r="BG84" i="1"/>
  <c r="BS84" i="1" s="1"/>
  <c r="CE84" i="1"/>
  <c r="AU84" i="1"/>
  <c r="BE7" i="1"/>
  <c r="BQ7" i="1"/>
  <c r="CC7" i="1"/>
  <c r="AH86" i="1"/>
  <c r="CB7" i="1"/>
  <c r="BD7" i="1"/>
  <c r="BP7" i="1"/>
  <c r="AG86" i="1"/>
  <c r="AU14" i="1"/>
  <c r="CE14" i="1"/>
  <c r="BG14" i="1"/>
  <c r="BS14" i="1" s="1"/>
  <c r="BH14" i="1"/>
  <c r="BT14" i="1" s="1"/>
  <c r="CF14" i="1"/>
  <c r="BR7" i="1"/>
  <c r="BS6" i="1"/>
  <c r="BZ86" i="1"/>
  <c r="BW86" i="1"/>
  <c r="BU5" i="1"/>
  <c r="BO20" i="1"/>
  <c r="BC20" i="1"/>
  <c r="CA20" i="1"/>
  <c r="BH33" i="1"/>
  <c r="BT33" i="1" s="1"/>
  <c r="CF33" i="1"/>
  <c r="AU42" i="1"/>
  <c r="BG42" i="1"/>
  <c r="BS42" i="1" s="1"/>
  <c r="CE42" i="1"/>
  <c r="CD28" i="1"/>
  <c r="AT28" i="1"/>
  <c r="BF28" i="1"/>
  <c r="BR28" i="1" s="1"/>
  <c r="AU44" i="1"/>
  <c r="BG44" i="1"/>
  <c r="BS44" i="1" s="1"/>
  <c r="CE44" i="1"/>
  <c r="CA41" i="1"/>
  <c r="BC41" i="1"/>
  <c r="BO41" i="1"/>
  <c r="BH43" i="1"/>
  <c r="BT43" i="1" s="1"/>
  <c r="CF43" i="1"/>
  <c r="BI56" i="1"/>
  <c r="BU56" i="1" s="1"/>
  <c r="CG56" i="1"/>
  <c r="AV56" i="1"/>
  <c r="BH56" i="1"/>
  <c r="BT56" i="1" s="1"/>
  <c r="CF56" i="1"/>
  <c r="BH57" i="1"/>
  <c r="BT57" i="1" s="1"/>
  <c r="CF57" i="1"/>
  <c r="AU72" i="1"/>
  <c r="BG72" i="1"/>
  <c r="BS72" i="1" s="1"/>
  <c r="CE72" i="1"/>
  <c r="AU80" i="1"/>
  <c r="BG80" i="1"/>
  <c r="BS80" i="1" s="1"/>
  <c r="CE80" i="1"/>
  <c r="AT23" i="1"/>
  <c r="BF23" i="1"/>
  <c r="BR23" i="1" s="1"/>
  <c r="CD23" i="1"/>
  <c r="CE49" i="1"/>
  <c r="AU49" i="1"/>
  <c r="BG49" i="1"/>
  <c r="BS49" i="1" s="1"/>
  <c r="CA53" i="1"/>
  <c r="BC53" i="1"/>
  <c r="BO53" i="1"/>
  <c r="BE63" i="1"/>
  <c r="BQ63" i="1"/>
  <c r="CC63" i="1"/>
  <c r="BE62" i="1"/>
  <c r="BQ62" i="1"/>
  <c r="CC62" i="1"/>
  <c r="BE66" i="1"/>
  <c r="BQ66" i="1"/>
  <c r="CC66" i="1"/>
  <c r="AT27" i="1"/>
  <c r="BF27" i="1"/>
  <c r="BR27" i="1" s="1"/>
  <c r="CD27" i="1"/>
  <c r="CE71" i="1"/>
  <c r="AU71" i="1"/>
  <c r="BG71" i="1"/>
  <c r="BS71" i="1" s="1"/>
  <c r="BD20" i="1"/>
  <c r="BP20" i="1"/>
  <c r="CB20" i="1"/>
  <c r="BD38" i="1"/>
  <c r="BP38" i="1"/>
  <c r="CB38" i="1"/>
  <c r="CC50" i="1"/>
  <c r="BQ50" i="1"/>
  <c r="BE50" i="1"/>
  <c r="CB60" i="1"/>
  <c r="BP60" i="1"/>
  <c r="BD60" i="1"/>
  <c r="AT63" i="1"/>
  <c r="BF63" i="1"/>
  <c r="BR63" i="1" s="1"/>
  <c r="CD63" i="1"/>
  <c r="BD75" i="1"/>
  <c r="BP75" i="1"/>
  <c r="CB75" i="1"/>
  <c r="AV75" i="1"/>
  <c r="BI75" i="1"/>
  <c r="BU75" i="1" s="1"/>
  <c r="CG75" i="1"/>
  <c r="BE74" i="1"/>
  <c r="BQ74" i="1"/>
  <c r="CC74" i="1"/>
  <c r="BD74" i="1"/>
  <c r="CB74" i="1"/>
  <c r="BP74" i="1"/>
  <c r="BI36" i="1"/>
  <c r="BU36" i="1" s="1"/>
  <c r="CG36" i="1"/>
  <c r="AV36" i="1"/>
  <c r="CF36" i="1"/>
  <c r="BH36" i="1"/>
  <c r="BT36" i="1" s="1"/>
  <c r="BH63" i="1"/>
  <c r="BT63" i="1" s="1"/>
  <c r="CF63" i="1"/>
  <c r="BC14" i="1"/>
  <c r="CA14" i="1"/>
  <c r="BO14" i="1"/>
  <c r="AW16" i="1"/>
  <c r="BC17" i="1"/>
  <c r="BE24" i="1"/>
  <c r="BQ24" i="1"/>
  <c r="CC24" i="1"/>
  <c r="BE83" i="1"/>
  <c r="BQ83" i="1"/>
  <c r="CC83" i="1"/>
  <c r="BC71" i="1"/>
  <c r="CA71" i="1"/>
  <c r="BO71" i="1"/>
  <c r="AT48" i="1"/>
  <c r="BF48" i="1"/>
  <c r="BR48" i="1" s="1"/>
  <c r="CD48" i="1"/>
  <c r="BT5" i="1"/>
  <c r="BI7" i="1"/>
  <c r="BU7" i="1" s="1"/>
  <c r="CG7" i="1"/>
  <c r="AV7" i="1"/>
  <c r="AL86" i="1"/>
  <c r="BH7" i="1"/>
  <c r="BT7" i="1" s="1"/>
  <c r="CF7" i="1"/>
  <c r="AK86" i="1"/>
  <c r="BH8" i="1"/>
  <c r="BT8" i="1" s="1"/>
  <c r="CF8" i="1"/>
  <c r="AU16" i="1"/>
  <c r="BG16" i="1"/>
  <c r="BS16" i="1" s="1"/>
  <c r="CE16" i="1"/>
  <c r="AS86" i="1"/>
  <c r="AP86" i="1"/>
  <c r="BF11" i="1"/>
  <c r="BR11" i="1" s="1"/>
  <c r="AT11" i="1"/>
  <c r="AI86" i="1"/>
  <c r="CD11" i="1"/>
  <c r="BH11" i="1"/>
  <c r="BT11" i="1" s="1"/>
  <c r="CF11" i="1"/>
  <c r="AV11" i="1"/>
  <c r="BI11" i="1"/>
  <c r="BU11" i="1" s="1"/>
  <c r="CG11" i="1"/>
  <c r="CB10" i="1"/>
  <c r="BP10" i="1"/>
  <c r="BD10" i="1"/>
  <c r="AU20" i="1"/>
  <c r="CE20" i="1"/>
  <c r="BG20" i="1"/>
  <c r="BS20" i="1" s="1"/>
  <c r="BI28" i="1"/>
  <c r="BU28" i="1" s="1"/>
  <c r="CG28" i="1"/>
  <c r="AV28" i="1"/>
  <c r="BE32" i="1"/>
  <c r="BQ32" i="1"/>
  <c r="CC32" i="1"/>
  <c r="CB32" i="1"/>
  <c r="BP32" i="1"/>
  <c r="BD32" i="1"/>
  <c r="BO33" i="1"/>
  <c r="BC33" i="1"/>
  <c r="CA33" i="1"/>
  <c r="BE28" i="1"/>
  <c r="BQ28" i="1"/>
  <c r="CC28" i="1"/>
  <c r="BD41" i="1"/>
  <c r="BP41" i="1"/>
  <c r="CB41" i="1"/>
  <c r="BD21" i="1"/>
  <c r="BP21" i="1"/>
  <c r="CB21" i="1"/>
  <c r="CH21" i="1" s="1"/>
  <c r="BC24" i="1"/>
  <c r="BO24" i="1"/>
  <c r="CA24" i="1"/>
  <c r="AT47" i="1"/>
  <c r="BF47" i="1"/>
  <c r="BR47" i="1" s="1"/>
  <c r="CD47" i="1"/>
  <c r="AW54" i="1"/>
  <c r="BD25" i="1"/>
  <c r="BP25" i="1"/>
  <c r="CB25" i="1"/>
  <c r="BF37" i="1"/>
  <c r="BR37" i="1" s="1"/>
  <c r="CD37" i="1"/>
  <c r="AT37" i="1"/>
  <c r="BH37" i="1"/>
  <c r="BT37" i="1" s="1"/>
  <c r="CF37" i="1"/>
  <c r="CE41" i="1"/>
  <c r="BG41" i="1"/>
  <c r="BS41" i="1" s="1"/>
  <c r="AU41" i="1"/>
  <c r="BC43" i="1"/>
  <c r="CA57" i="1"/>
  <c r="BO57" i="1"/>
  <c r="BC57" i="1"/>
  <c r="CE23" i="1"/>
  <c r="AU23" i="1"/>
  <c r="BG23" i="1"/>
  <c r="BS23" i="1" s="1"/>
  <c r="CA27" i="1"/>
  <c r="BC27" i="1"/>
  <c r="BO27" i="1"/>
  <c r="BG53" i="1"/>
  <c r="BS53" i="1" s="1"/>
  <c r="CE53" i="1"/>
  <c r="AU53" i="1"/>
  <c r="AT70" i="1"/>
  <c r="BF70" i="1"/>
  <c r="BR70" i="1" s="1"/>
  <c r="CD70" i="1"/>
  <c r="AT74" i="1"/>
  <c r="BF74" i="1"/>
  <c r="BR74" i="1" s="1"/>
  <c r="CD74" i="1"/>
  <c r="BE82" i="1"/>
  <c r="BQ82" i="1"/>
  <c r="CC82" i="1"/>
  <c r="BD82" i="1"/>
  <c r="CB82" i="1"/>
  <c r="BP82" i="1"/>
  <c r="AV84" i="1"/>
  <c r="BI84" i="1"/>
  <c r="BU84" i="1" s="1"/>
  <c r="CG84" i="1"/>
  <c r="BI62" i="1"/>
  <c r="BU62" i="1" s="1"/>
  <c r="CG62" i="1"/>
  <c r="AV62" i="1"/>
  <c r="BH62" i="1"/>
  <c r="BT62" i="1" s="1"/>
  <c r="CF62" i="1"/>
  <c r="BD63" i="1"/>
  <c r="BP63" i="1"/>
  <c r="CB63" i="1"/>
  <c r="AV63" i="1"/>
  <c r="BI63" i="1"/>
  <c r="BU63" i="1" s="1"/>
  <c r="CG63" i="1"/>
  <c r="BI66" i="1"/>
  <c r="BU66" i="1" s="1"/>
  <c r="CG66" i="1"/>
  <c r="AV66" i="1"/>
  <c r="BH66" i="1"/>
  <c r="BT66" i="1" s="1"/>
  <c r="CF66" i="1"/>
  <c r="BD67" i="1"/>
  <c r="BP67" i="1"/>
  <c r="CB67" i="1"/>
  <c r="BG27" i="1"/>
  <c r="BS27" i="1" s="1"/>
  <c r="AU27" i="1"/>
  <c r="CE27" i="1"/>
  <c r="BI27" i="1"/>
  <c r="BU27" i="1" s="1"/>
  <c r="CG27" i="1"/>
  <c r="AV27" i="1"/>
  <c r="CF27" i="1"/>
  <c r="BH27" i="1"/>
  <c r="BT27" i="1" s="1"/>
  <c r="BE49" i="1"/>
  <c r="BQ49" i="1"/>
  <c r="CC49" i="1"/>
  <c r="BE20" i="1"/>
  <c r="BQ20" i="1"/>
  <c r="CC20" i="1"/>
  <c r="CC38" i="1"/>
  <c r="BQ38" i="1"/>
  <c r="BE38" i="1"/>
  <c r="BC48" i="1"/>
  <c r="BO48" i="1"/>
  <c r="CA48" i="1"/>
  <c r="BE48" i="1"/>
  <c r="BQ48" i="1"/>
  <c r="CC48" i="1"/>
  <c r="BP48" i="1"/>
  <c r="BD48" i="1"/>
  <c r="CB48" i="1"/>
  <c r="BP62" i="1"/>
  <c r="BD62" i="1"/>
  <c r="CB62" i="1"/>
  <c r="BF67" i="1"/>
  <c r="BR67" i="1" s="1"/>
  <c r="CD67" i="1"/>
  <c r="AT67" i="1"/>
  <c r="BG70" i="1"/>
  <c r="BS70" i="1" s="1"/>
  <c r="CE70" i="1"/>
  <c r="AU70" i="1"/>
  <c r="CA79" i="1"/>
  <c r="BO79" i="1"/>
  <c r="BC79" i="1"/>
  <c r="AW30" i="1"/>
  <c r="AT40" i="1"/>
  <c r="BF40" i="1"/>
  <c r="BR40" i="1" s="1"/>
  <c r="CD40" i="1"/>
  <c r="BE40" i="1"/>
  <c r="BQ40" i="1"/>
  <c r="CC40" i="1"/>
  <c r="BD40" i="1"/>
  <c r="BP40" i="1"/>
  <c r="CB40" i="1"/>
  <c r="BE70" i="1"/>
  <c r="BQ70" i="1"/>
  <c r="CC70" i="1"/>
  <c r="AV71" i="1"/>
  <c r="BI71" i="1"/>
  <c r="BU71" i="1" s="1"/>
  <c r="CG71" i="1"/>
  <c r="BI74" i="1"/>
  <c r="BU74" i="1" s="1"/>
  <c r="CG74" i="1"/>
  <c r="AV74" i="1"/>
  <c r="CF74" i="1"/>
  <c r="BH74" i="1"/>
  <c r="BT74" i="1" s="1"/>
  <c r="BH75" i="1"/>
  <c r="BT75" i="1" s="1"/>
  <c r="CF75" i="1"/>
  <c r="AT36" i="1"/>
  <c r="BF36" i="1"/>
  <c r="BR36" i="1" s="1"/>
  <c r="CD36" i="1"/>
  <c r="BC63" i="1"/>
  <c r="CA63" i="1"/>
  <c r="BO63" i="1"/>
  <c r="BO84" i="1"/>
  <c r="BC84" i="1"/>
  <c r="CA84" i="1"/>
  <c r="CH9" i="1" l="1"/>
  <c r="CH77" i="1"/>
  <c r="CH68" i="1"/>
  <c r="CH7" i="1"/>
  <c r="CH72" i="1"/>
  <c r="CH73" i="1"/>
  <c r="CH51" i="1"/>
  <c r="CH69" i="1"/>
  <c r="CH39" i="1"/>
  <c r="CA83" i="1"/>
  <c r="CH83" i="1" s="1"/>
  <c r="BC83" i="1"/>
  <c r="BO43" i="1"/>
  <c r="CH50" i="1"/>
  <c r="CH81" i="1"/>
  <c r="BO8" i="1"/>
  <c r="CA16" i="1"/>
  <c r="BO16" i="1"/>
  <c r="CH30" i="1"/>
  <c r="CH47" i="1"/>
  <c r="CH61" i="1"/>
  <c r="CH55" i="1"/>
  <c r="CH76" i="1"/>
  <c r="CH45" i="1"/>
  <c r="CH6" i="1"/>
  <c r="CH53" i="1"/>
  <c r="AR86" i="1"/>
  <c r="AM86" i="1"/>
  <c r="AF86" i="1"/>
  <c r="CH26" i="1"/>
  <c r="CH59" i="1"/>
  <c r="CA17" i="1"/>
  <c r="CH17" i="1" s="1"/>
  <c r="CH13" i="1"/>
  <c r="BC8" i="1"/>
  <c r="CA19" i="1"/>
  <c r="CH19" i="1" s="1"/>
  <c r="CH57" i="1"/>
  <c r="CH25" i="1"/>
  <c r="CH33" i="1"/>
  <c r="CH71" i="1"/>
  <c r="CH82" i="1"/>
  <c r="CH16" i="1"/>
  <c r="CH14" i="1"/>
  <c r="CH60" i="1"/>
  <c r="CH64" i="1"/>
  <c r="CH58" i="1"/>
  <c r="AV86" i="1"/>
  <c r="CH23" i="1"/>
  <c r="CH62" i="1"/>
  <c r="CH66" i="1"/>
  <c r="CE86" i="1"/>
  <c r="CH42" i="1"/>
  <c r="CH84" i="1"/>
  <c r="CH70" i="1"/>
  <c r="CH79" i="1"/>
  <c r="CH48" i="1"/>
  <c r="CH67" i="1"/>
  <c r="CH27" i="1"/>
  <c r="CH41" i="1"/>
  <c r="CH32" i="1"/>
  <c r="CH20" i="1"/>
  <c r="CH8" i="1"/>
  <c r="CD86" i="1"/>
  <c r="CH44" i="1"/>
  <c r="BP86" i="1"/>
  <c r="CH65" i="1"/>
  <c r="CH46" i="1"/>
  <c r="CH34" i="1"/>
  <c r="CC86" i="1"/>
  <c r="CH40" i="1"/>
  <c r="CF86" i="1"/>
  <c r="CH38" i="1"/>
  <c r="AW86" i="1"/>
  <c r="CH78" i="1"/>
  <c r="CH52" i="1"/>
  <c r="CH63" i="1"/>
  <c r="CH43" i="1"/>
  <c r="AT86" i="1"/>
  <c r="BA86" i="1"/>
  <c r="CH74" i="1"/>
  <c r="CH80" i="1"/>
  <c r="BD86" i="1"/>
  <c r="CH75" i="1"/>
  <c r="CH56" i="1"/>
  <c r="AU86" i="1"/>
  <c r="CH29" i="1"/>
  <c r="CA54" i="1"/>
  <c r="CH54" i="1" s="1"/>
  <c r="BC54" i="1"/>
  <c r="BO54" i="1"/>
  <c r="CG86" i="1"/>
  <c r="BS86" i="1"/>
  <c r="BQ86" i="1"/>
  <c r="CH36" i="1"/>
  <c r="CH24" i="1"/>
  <c r="CH10" i="1"/>
  <c r="CH49" i="1"/>
  <c r="BE86" i="1"/>
  <c r="BM86" i="1"/>
  <c r="BT86" i="1"/>
  <c r="CH12" i="1"/>
  <c r="BI86" i="1"/>
  <c r="BF86" i="1"/>
  <c r="CH37" i="1"/>
  <c r="BY86" i="1"/>
  <c r="BH86" i="1"/>
  <c r="CH11" i="1"/>
  <c r="CB86" i="1"/>
  <c r="BU86" i="1"/>
  <c r="BG86" i="1"/>
  <c r="BR86" i="1"/>
  <c r="CH28" i="1"/>
  <c r="BC86" i="1" l="1"/>
  <c r="BO86" i="1"/>
  <c r="CA86" i="1"/>
  <c r="CH86" i="1"/>
</calcChain>
</file>

<file path=xl/comments1.xml><?xml version="1.0" encoding="utf-8"?>
<comments xmlns="http://schemas.openxmlformats.org/spreadsheetml/2006/main">
  <authors>
    <author/>
  </authors>
  <commentList>
    <comment ref="C8" authorId="0" shapeId="0">
      <text>
        <r>
          <rPr>
            <sz val="11"/>
            <color rgb="FF000000"/>
            <rFont val="Calibri"/>
          </rPr>
          <t>Amaury</t>
        </r>
      </text>
    </comment>
    <comment ref="C19" authorId="0" shapeId="0">
      <text>
        <r>
          <rPr>
            <sz val="11"/>
            <color rgb="FF000000"/>
            <rFont val="Calibri"/>
          </rPr>
          <t>Lulú:
Gerardo</t>
        </r>
      </text>
    </comment>
    <comment ref="C27" authorId="0" shapeId="0">
      <text>
        <r>
          <rPr>
            <sz val="11"/>
            <color rgb="FF000000"/>
            <rFont val="Calibri"/>
          </rPr>
          <t>Don Enrique</t>
        </r>
      </text>
    </comment>
    <comment ref="C38" authorId="0" shapeId="0">
      <text>
        <r>
          <rPr>
            <sz val="11"/>
            <color rgb="FF000000"/>
            <rFont val="Calibri"/>
          </rPr>
          <t>Joel/Alma/Amaury</t>
        </r>
      </text>
    </comment>
    <comment ref="AB47" authorId="0" shapeId="0">
      <text>
        <r>
          <rPr>
            <sz val="11"/>
            <color rgb="FF000000"/>
            <rFont val="Calibri"/>
          </rPr>
          <t>Debería pagarse $1,046 pero por acuerdos se le paga $1,068</t>
        </r>
      </text>
    </comment>
    <comment ref="AC47" authorId="0" shapeId="0">
      <text>
        <r>
          <rPr>
            <sz val="11"/>
            <color rgb="FF000000"/>
            <rFont val="Calibri"/>
          </rPr>
          <t>Debería pagarse $666.00 pero por acuerdo se le paga $679</t>
        </r>
      </text>
    </comment>
    <comment ref="AE83" authorId="0" shapeId="0">
      <text>
        <r>
          <rPr>
            <sz val="11"/>
            <color rgb="FF000000"/>
            <rFont val="Calibri"/>
          </rPr>
          <t>Revisar, debemos pagar 2 SM, sin embargo en la proyección 2017 están 3. Revisar que sea solo a partir del mes en que cumpla 10 años</t>
        </r>
      </text>
    </comment>
  </commentList>
</comments>
</file>

<file path=xl/sharedStrings.xml><?xml version="1.0" encoding="utf-8"?>
<sst xmlns="http://schemas.openxmlformats.org/spreadsheetml/2006/main" count="952" uniqueCount="328">
  <si>
    <t>TOTALES</t>
  </si>
  <si>
    <t>NO</t>
  </si>
  <si>
    <t>B</t>
  </si>
  <si>
    <t>S</t>
  </si>
  <si>
    <t>Carrera Técnica</t>
  </si>
  <si>
    <t>M</t>
  </si>
  <si>
    <t>INST. TERRITORIAL</t>
  </si>
  <si>
    <t>UNIDAD DE GOBIERNO, SEGURIDAD Y JUSTICIA</t>
  </si>
  <si>
    <t>Técnico Especializado</t>
  </si>
  <si>
    <t>TOAH860917ER1</t>
  </si>
  <si>
    <t>Torres Aguilar Hermilo</t>
  </si>
  <si>
    <t>Licenciatura</t>
  </si>
  <si>
    <t>SEIJAL</t>
  </si>
  <si>
    <t>AAHJ631212957</t>
  </si>
  <si>
    <t>Andrade Hernandez Jose De Jesus</t>
  </si>
  <si>
    <t>C</t>
  </si>
  <si>
    <t>SI</t>
  </si>
  <si>
    <t>F</t>
  </si>
  <si>
    <t>COEPO</t>
  </si>
  <si>
    <t>Coordinadora de evaluación y seguimiento</t>
  </si>
  <si>
    <t>JIGF811012GP1</t>
  </si>
  <si>
    <t>Jimenez Gonzalez Francia Edith</t>
  </si>
  <si>
    <t>Pasante de Licenciatura</t>
  </si>
  <si>
    <t>IIEG</t>
  </si>
  <si>
    <t xml:space="preserve">Coordinadora de Control de la Gestión </t>
  </si>
  <si>
    <t>EAPE781105119</t>
  </si>
  <si>
    <t>Estrada Pulido Erika</t>
  </si>
  <si>
    <t>Administradora del sistema</t>
  </si>
  <si>
    <t>TUHK721205BF1</t>
  </si>
  <si>
    <t>Trujillo Hernandez Karina Margarita</t>
  </si>
  <si>
    <t>Maestría</t>
  </si>
  <si>
    <t>Coordinador de análisis y proyectos A</t>
  </si>
  <si>
    <t>GURM730512PR3</t>
  </si>
  <si>
    <t>Guevara Rubio Montserrat</t>
  </si>
  <si>
    <t>Director de la Unidad</t>
  </si>
  <si>
    <t>SATA7310318K7</t>
  </si>
  <si>
    <t>Sanchez Torres Alejandro Salvador</t>
  </si>
  <si>
    <t>UNIDAD ESTADISTICA SOCIO DEMOGRAFICA</t>
  </si>
  <si>
    <t>Plaza sin presupuesto</t>
  </si>
  <si>
    <t>Asistente Técnica</t>
  </si>
  <si>
    <t>QUMI860416CD6</t>
  </si>
  <si>
    <t>Quintero Martinez Iris Ariadna</t>
  </si>
  <si>
    <t>Analista demográfica</t>
  </si>
  <si>
    <t>IAAA871129938</t>
  </si>
  <si>
    <t>Ibarraran Arreola Adriana Gabriela</t>
  </si>
  <si>
    <t>Técnica Especializada</t>
  </si>
  <si>
    <t>GORD580328M90</t>
  </si>
  <si>
    <t>Gomez Ramirez Ma Dolores</t>
  </si>
  <si>
    <t>Coordinadora A</t>
  </si>
  <si>
    <t>GAHV860329L90</t>
  </si>
  <si>
    <t>Gama Hernandez Viviana</t>
  </si>
  <si>
    <t>Coordinadora Demográfica</t>
  </si>
  <si>
    <t>EIGL880211161</t>
  </si>
  <si>
    <t>Espinosa Garcia Lourdes Naharai</t>
  </si>
  <si>
    <t>Coordinadora de proyectos especiales</t>
  </si>
  <si>
    <t>LAGG740619SN0</t>
  </si>
  <si>
    <t>Lara Garza Gabriela</t>
  </si>
  <si>
    <t>RUBS730110FM8</t>
  </si>
  <si>
    <t>Ruiz Bastida Santiago</t>
  </si>
  <si>
    <t>UNIDAD ESTADISTICA GEOGRAFICA AMBIENTAL</t>
  </si>
  <si>
    <t>Analista en Integración de Información Geográfica y de medio ambiente</t>
  </si>
  <si>
    <t>Técnica especializada en análisis de información de geografía y medio ambiente</t>
  </si>
  <si>
    <t>FIGM900516BQ0</t>
  </si>
  <si>
    <t>Figueroa Gutierrez Mayra Karina</t>
  </si>
  <si>
    <t>Analista de evaluación y proyectos</t>
  </si>
  <si>
    <t>TOMA570617DU6</t>
  </si>
  <si>
    <t>De La Torre Martinez Maria Alejandra</t>
  </si>
  <si>
    <t>Técnico en geodesia y SIG</t>
  </si>
  <si>
    <t>CABJ630109CS2</t>
  </si>
  <si>
    <t>Chavez Balderrama Julian</t>
  </si>
  <si>
    <t>Coordinadora Especializada A</t>
  </si>
  <si>
    <t>TATM830521V10</t>
  </si>
  <si>
    <t>Tadeo De La Torre Miroslava</t>
  </si>
  <si>
    <t>Coordinador de análisis de información geográfica y de medio ambiente.</t>
  </si>
  <si>
    <t>GOMI760421TD4</t>
  </si>
  <si>
    <t>Gomez Mora Ivan</t>
  </si>
  <si>
    <t>Coordinador de vinculación regional y proyectos especiales</t>
  </si>
  <si>
    <t>RAAE8210126W9</t>
  </si>
  <si>
    <t>Ramirez Aceves Edgar Daniel</t>
  </si>
  <si>
    <t>Coordinadora de Integración de Información Geográfica y de Medio Ambiente</t>
  </si>
  <si>
    <t>OEMA811222ER6</t>
  </si>
  <si>
    <t>Ortega Minakata Ana Teresa</t>
  </si>
  <si>
    <t>Coordinador de estudios de campo</t>
  </si>
  <si>
    <t>SAHF590402F65</t>
  </si>
  <si>
    <t>Saldaña Hernandez Jose Francisco</t>
  </si>
  <si>
    <t>Coordinador de integración y análisis de información geográfica y de medio ambiente</t>
  </si>
  <si>
    <t>GOOJ700417UD9</t>
  </si>
  <si>
    <t>Gomez Ortiz Jorge Alonso</t>
  </si>
  <si>
    <t>BAAM690816PB6</t>
  </si>
  <si>
    <t>Bautista Andalon Maximiano</t>
  </si>
  <si>
    <t>A</t>
  </si>
  <si>
    <t>Preparatoria</t>
  </si>
  <si>
    <t>ORGANO DE CONTROL Y VIGILANCIA</t>
  </si>
  <si>
    <t>Coordinadora de análisis de procesos</t>
  </si>
  <si>
    <t>AABL6708117W1</t>
  </si>
  <si>
    <t>Alvarez Barraza Laura Susana</t>
  </si>
  <si>
    <t>Comisario</t>
  </si>
  <si>
    <t>PASM461222IU9</t>
  </si>
  <si>
    <t>Padilla Sanchez Jose Manuel</t>
  </si>
  <si>
    <t>COORDINACION DEL SISTEMA</t>
  </si>
  <si>
    <t>VAGI770530E10</t>
  </si>
  <si>
    <t>Vazquez Gutierrez Ines</t>
  </si>
  <si>
    <t>FAOS720116FD2</t>
  </si>
  <si>
    <t>Fausto Ortiz Sandra</t>
  </si>
  <si>
    <t>Coordinadora de Comunicación y Apoyo A</t>
  </si>
  <si>
    <t>SAGP800718LP0</t>
  </si>
  <si>
    <t>Sanchez Guzman Paloma Anayansi</t>
  </si>
  <si>
    <t>Coordinador Especializado B</t>
  </si>
  <si>
    <t>OOVJ771219BL9</t>
  </si>
  <si>
    <t>Ochoa Valdovinos Jose De Jesus</t>
  </si>
  <si>
    <t>Coordinador de vinculación y gestión</t>
  </si>
  <si>
    <t>SOAO851220MC8</t>
  </si>
  <si>
    <t>Soto Arteaga Omar Eduardo</t>
  </si>
  <si>
    <t>Coordinador de imagen y difusión</t>
  </si>
  <si>
    <t>GOHA750907BK3</t>
  </si>
  <si>
    <t>Gonzalez Hernandez Antonio</t>
  </si>
  <si>
    <t>AALJ740829M84</t>
  </si>
  <si>
    <t>Altamirano Limon Juan Pablo</t>
  </si>
  <si>
    <t>UNIDAD DE ASUNTOS JURIDICOS</t>
  </si>
  <si>
    <t>Abogado de lo contencioso y gestión administrativa</t>
  </si>
  <si>
    <t>Gestora</t>
  </si>
  <si>
    <t>LACG6612144T3</t>
  </si>
  <si>
    <t>Larios Carrillo Maria Guadalupe</t>
  </si>
  <si>
    <t>Asistente de logística</t>
  </si>
  <si>
    <t>MABS510304KU8</t>
  </si>
  <si>
    <t>Machuca Barraza Socorro Elena</t>
  </si>
  <si>
    <t>Coordinador de transparencia</t>
  </si>
  <si>
    <t>AUEJ851002146</t>
  </si>
  <si>
    <t>Aguila Espinoza Javier</t>
  </si>
  <si>
    <t>Coordinador de convenios, contratos y atención a órganos de Gobierno</t>
  </si>
  <si>
    <t>AORR7605207N7</t>
  </si>
  <si>
    <t>Alonso Ramos Jose Raul</t>
  </si>
  <si>
    <t>Abogado para convenios e instrumentos de transparencia</t>
  </si>
  <si>
    <t>CAML781010398</t>
  </si>
  <si>
    <t>Castellanos Moya Luis Daniel</t>
  </si>
  <si>
    <t>Coordinador Jurídico</t>
  </si>
  <si>
    <t>LOAS7709255W8</t>
  </si>
  <si>
    <t>Lopez Arciniega Sergio</t>
  </si>
  <si>
    <t>RAAR650403MD4</t>
  </si>
  <si>
    <t>Ramirez Aguilera Ricardo</t>
  </si>
  <si>
    <t>UNIDAD DE TECNOLOGIAS DE LA INFORMACION</t>
  </si>
  <si>
    <t>Técnico en Informática</t>
  </si>
  <si>
    <t>Doctorado</t>
  </si>
  <si>
    <t>Analista de Sistemas B</t>
  </si>
  <si>
    <t>COFE830829GG3</t>
  </si>
  <si>
    <t>Cossio Franco Edgar Gonzalo</t>
  </si>
  <si>
    <t>Técnico en Redes</t>
  </si>
  <si>
    <t>MARE9003284J0</t>
  </si>
  <si>
    <t>Macedo Ruiz Edith Cecilia</t>
  </si>
  <si>
    <t>Técnico en Telecomunicaciones</t>
  </si>
  <si>
    <t>LOCM580220QR6</t>
  </si>
  <si>
    <t>Lopez Cervantes Miguel Angel</t>
  </si>
  <si>
    <t>Líder de Proyecto</t>
  </si>
  <si>
    <t>FOCN9312074B2</t>
  </si>
  <si>
    <t>Flores Cervantes Nayeli</t>
  </si>
  <si>
    <t>TONS780827NL5</t>
  </si>
  <si>
    <t>Torres Naranjo Silvia Leticia</t>
  </si>
  <si>
    <t>Analista en Sistemas</t>
  </si>
  <si>
    <t>Coordinador de Desarrollo de Software</t>
  </si>
  <si>
    <t>GUGJ831220C98</t>
  </si>
  <si>
    <t>Gutierrez Guerrero Jesus Abraham</t>
  </si>
  <si>
    <t>Coordinador de Redes y Telecomunicaciones</t>
  </si>
  <si>
    <t>TOVA7309135I2</t>
  </si>
  <si>
    <t>Torres Vázquez José Alonso</t>
  </si>
  <si>
    <t>Coordinador de Proyectos Geomáticos</t>
  </si>
  <si>
    <t>DERD740202U90</t>
  </si>
  <si>
    <t>Delgadillo Rojas Dante</t>
  </si>
  <si>
    <t>Coordinadora de Planeación y Proyectos Estratégicos</t>
  </si>
  <si>
    <t>IAVD800129369</t>
  </si>
  <si>
    <t>Ibarra Villanueva Denisse Virginia</t>
  </si>
  <si>
    <t>CAMS600123GU1</t>
  </si>
  <si>
    <t>Cardenas Martos Salvador</t>
  </si>
  <si>
    <t>Secundaria</t>
  </si>
  <si>
    <t>UNIDAD DE ADMINISTRACION</t>
  </si>
  <si>
    <t>Auxiliar de Logística</t>
  </si>
  <si>
    <t>AACE860402N99</t>
  </si>
  <si>
    <t>Andrade Castañeda Eduardo</t>
  </si>
  <si>
    <t>0302</t>
  </si>
  <si>
    <t>Primaria</t>
  </si>
  <si>
    <t>Especialista Operativo</t>
  </si>
  <si>
    <t>GUVM740207KT1</t>
  </si>
  <si>
    <t>Gutierrez Velazquez Melquiades</t>
  </si>
  <si>
    <t>0360</t>
  </si>
  <si>
    <t>LOSM881205388</t>
  </si>
  <si>
    <t>Lopez Sanchez Minerva</t>
  </si>
  <si>
    <t>ROBR670615H27</t>
  </si>
  <si>
    <t>Robles Bonilla Raquel</t>
  </si>
  <si>
    <t>Especialista Administrativo A</t>
  </si>
  <si>
    <t>TOAR781209I8A</t>
  </si>
  <si>
    <t>Torres Aguilar Roberto</t>
  </si>
  <si>
    <t>Coordinador Administrativo B</t>
  </si>
  <si>
    <t>MERJ790707GR4</t>
  </si>
  <si>
    <t>Mejia Reynoso Javier</t>
  </si>
  <si>
    <t>Coordinadora de Recursos Humanos y Capacitación</t>
  </si>
  <si>
    <t>EIVB7004181A5</t>
  </si>
  <si>
    <t>Espinosa Valdez Bertha Ninemi</t>
  </si>
  <si>
    <t>Coordinador de Recursos Financieros y  Control Presupuestal</t>
  </si>
  <si>
    <t>CAGR8402164E7</t>
  </si>
  <si>
    <t>Campos Gutierrez Jose Ramon</t>
  </si>
  <si>
    <t>Directora de la Unidad</t>
  </si>
  <si>
    <t>COGR8107245T9</t>
  </si>
  <si>
    <t>Corona Gomez Rosa Cristina</t>
  </si>
  <si>
    <t>UNIDAD ESTADISTICA ECONOMICO FINANCIERA</t>
  </si>
  <si>
    <t>PEQB770802CU2</t>
  </si>
  <si>
    <t>Peña Quevedo Bertha Olivia</t>
  </si>
  <si>
    <t>Analista de Proyectos</t>
  </si>
  <si>
    <t>PAGP711008FW7</t>
  </si>
  <si>
    <t>Patiño Garcia Patricia</t>
  </si>
  <si>
    <t>Coordinadora de Estadística Sectorial y Promocional</t>
  </si>
  <si>
    <t>GAZS650728678</t>
  </si>
  <si>
    <t>Galindo Zamora Susana</t>
  </si>
  <si>
    <t>Coordinador de Análisis Económico Financiero</t>
  </si>
  <si>
    <t>BALA7211033R7</t>
  </si>
  <si>
    <t>Barraza Lopez Antonio</t>
  </si>
  <si>
    <t>Coordinadora de Estadística Económica</t>
  </si>
  <si>
    <t>BIVF8901288S9</t>
  </si>
  <si>
    <t>Bringas Valenzuela Maria Fernanda</t>
  </si>
  <si>
    <t>GACC780430M10</t>
  </si>
  <si>
    <t>Garibaldi Castillo Carlos Eduardo</t>
  </si>
  <si>
    <t>GARN780826V57</t>
  </si>
  <si>
    <t>Garcia Romero Nestor Eduardo</t>
  </si>
  <si>
    <t>Analista en Microdatos y Proyectos</t>
  </si>
  <si>
    <t>UEDA920411NI7</t>
  </si>
  <si>
    <t>Angélica Edith Ureño Díaz</t>
  </si>
  <si>
    <t>NIDH891019KGA</t>
  </si>
  <si>
    <t>Niño Diaz Hector Daniel</t>
  </si>
  <si>
    <t>DIRECCION GENERAL</t>
  </si>
  <si>
    <t>Asistente de Logística</t>
  </si>
  <si>
    <t>SAMG880311H92</t>
  </si>
  <si>
    <t>Sanchez Martinez Gerardo</t>
  </si>
  <si>
    <t>Evaluador de Proyectos</t>
  </si>
  <si>
    <t>EAGH891219H26</t>
  </si>
  <si>
    <t>Esparza Guillen Homero</t>
  </si>
  <si>
    <t>Coordinadora de Planeación e Información A</t>
  </si>
  <si>
    <t>COGP890106KI4</t>
  </si>
  <si>
    <t>Contreras Godinez Paulina Aranzazu</t>
  </si>
  <si>
    <t>Director General</t>
  </si>
  <si>
    <t>CACD671207N49</t>
  </si>
  <si>
    <t>Campos Cornejo David Rogelio</t>
  </si>
  <si>
    <t>DESPENSA 3% SOBRE SUELDO BASE</t>
  </si>
  <si>
    <t>IMSS MENSUAL</t>
  </si>
  <si>
    <t>SEDAR MENSUAL</t>
  </si>
  <si>
    <t>FONDO DE VIVIENDA MENSUAL</t>
  </si>
  <si>
    <t>FONDO DE PENSIONES MENSUAL</t>
  </si>
  <si>
    <t>PRIMA VACACIONAL COSTO MENSUAL</t>
  </si>
  <si>
    <t>AGUINALDO COSTO MENSUAL</t>
  </si>
  <si>
    <t>ESTIMULO AL SERVICIO ADMINISTRATIVO COSTO MENSUAL</t>
  </si>
  <si>
    <t>PRIMA QUINQUENAL MENSUAL</t>
  </si>
  <si>
    <t>PASAJE MESUAL</t>
  </si>
  <si>
    <t>DESPENSA MESUAL</t>
  </si>
  <si>
    <t>SUELDO MESUAL</t>
  </si>
  <si>
    <t>IMSS DIARIO</t>
  </si>
  <si>
    <t>SEDAR DIARIO</t>
  </si>
  <si>
    <t>FONDO DE VIVIENDA DIARIO</t>
  </si>
  <si>
    <t>FONDO DE PENSIONES DIARIO</t>
  </si>
  <si>
    <t>PRIMA VACACIONAL DIARIA</t>
  </si>
  <si>
    <t>AGUINALDO DIARIO</t>
  </si>
  <si>
    <t>ESTIMULO AL SERVICIO ADMINISTRATIVO DIARIO</t>
  </si>
  <si>
    <t>PRIMA QUINQUENAL DIARIA</t>
  </si>
  <si>
    <t>DESPENSA 3% SOBRE SUELDO BASE DIARIO</t>
  </si>
  <si>
    <t>PASAJE DIARIO</t>
  </si>
  <si>
    <t>DESPENSA DIARIA</t>
  </si>
  <si>
    <t>SUELDO DIARIO</t>
  </si>
  <si>
    <t>NETO QUINCENAL</t>
  </si>
  <si>
    <t>SEDAR</t>
  </si>
  <si>
    <t>FONDO DE VIVIENDA</t>
  </si>
  <si>
    <t>FONDO DE PENSIONES</t>
  </si>
  <si>
    <t>PRIMA QUINQUENAL</t>
  </si>
  <si>
    <t>PASAJE</t>
  </si>
  <si>
    <t>DESPENSA</t>
  </si>
  <si>
    <t>SUELDO</t>
  </si>
  <si>
    <t>PENSIONES (EMPLEADO) MENSUAL</t>
  </si>
  <si>
    <t>ISR MENSUAL</t>
  </si>
  <si>
    <t>PRIMA VACACIONAL</t>
  </si>
  <si>
    <t>AGUINALDO</t>
  </si>
  <si>
    <t>ESTIMULO AL SERVICIO ADMINISTRATIVO</t>
  </si>
  <si>
    <t xml:space="preserve">PRIMA QUINQUENAL MENSUAL  </t>
  </si>
  <si>
    <t>DESPENSA 3% SOBRE SUELDO BASE MENSUAL</t>
  </si>
  <si>
    <t>PASAJE MENSUAL</t>
  </si>
  <si>
    <t>DESPENSA MENSUAL</t>
  </si>
  <si>
    <t>SUELDO MENSUAL</t>
  </si>
  <si>
    <t>PLAZAS SINDICALIZADA</t>
  </si>
  <si>
    <t>JORNADA</t>
  </si>
  <si>
    <t>HOMOLOGADO</t>
  </si>
  <si>
    <t>NIVEL</t>
  </si>
  <si>
    <t>TIPO PLAZA (A=ADJETIVA   S=SUSTANTIVA)</t>
  </si>
  <si>
    <t>Antigüedad en días</t>
  </si>
  <si>
    <t>Antigüedad en meses</t>
  </si>
  <si>
    <t>Antigüedad en años</t>
  </si>
  <si>
    <t>Antigüedad</t>
  </si>
  <si>
    <t>FECHA INGRESO</t>
  </si>
  <si>
    <t>Edad</t>
  </si>
  <si>
    <t>Fecha de nacimiento</t>
  </si>
  <si>
    <t>Escolaridad</t>
  </si>
  <si>
    <t>Género</t>
  </si>
  <si>
    <t>ORIGEN</t>
  </si>
  <si>
    <t>NOMBRE DEL CENTRO DE TRABAJO</t>
  </si>
  <si>
    <t>NOMBRAMIENTO</t>
  </si>
  <si>
    <t>RFC</t>
  </si>
  <si>
    <t>COMPONENTE 2017</t>
  </si>
  <si>
    <t>NOMBRE</t>
  </si>
  <si>
    <t>APELLIDO MATERNO</t>
  </si>
  <si>
    <t>APELLIDO PATERNO</t>
  </si>
  <si>
    <t>Código del puesto</t>
  </si>
  <si>
    <t>No. Consecutivo</t>
  </si>
  <si>
    <t>COSTO TOTAL ANUAL</t>
  </si>
  <si>
    <t>MENSUAL</t>
  </si>
  <si>
    <t>DIARIO</t>
  </si>
  <si>
    <t>QUINCENAL</t>
  </si>
  <si>
    <t>DEDUCCIONES</t>
  </si>
  <si>
    <t>PORCENTAJE SEDAR</t>
  </si>
  <si>
    <t>PORCENTAJE VIVIENDA</t>
  </si>
  <si>
    <t>PORCENTAJE PENSIONES</t>
  </si>
  <si>
    <t>SALARIO MÍNIMO 2018</t>
  </si>
  <si>
    <t>PORCENTAJE PENSIONES (empleado)</t>
  </si>
  <si>
    <t>PORCENTAJE IMSS</t>
  </si>
  <si>
    <t xml:space="preserve">SUELDO </t>
  </si>
  <si>
    <t xml:space="preserve">DESPENSA </t>
  </si>
  <si>
    <t xml:space="preserve">PASAJE </t>
  </si>
  <si>
    <t xml:space="preserve">PRIMA QUINQUENAL </t>
  </si>
  <si>
    <t xml:space="preserve">ESTIMULO AL SERVICIO ADMINISTRATIVO </t>
  </si>
  <si>
    <t xml:space="preserve">AGUINALDO COSTO </t>
  </si>
  <si>
    <t xml:space="preserve">PRIMA VACACIONAL COSTO </t>
  </si>
  <si>
    <t xml:space="preserve">FONDO DE PENSIONES </t>
  </si>
  <si>
    <t xml:space="preserve">FONDO DE VIVIENDA </t>
  </si>
  <si>
    <t xml:space="preserve">SEDAR </t>
  </si>
  <si>
    <t xml:space="preserve">IMSS </t>
  </si>
  <si>
    <t>B ó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</si>
</sst>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_-* #,##0.00_-;\-* #,##0.00_-;_-* &quot;-&quot;??_-;_-@"/>
    <numFmt numFmtId="166" formatCode="_-&quot;$&quot;* #,##0.00_-;\-&quot;$&quot;* #,##0.00_-;_-&quot;$&quot;* &quot;-&quot;??_-;_-@"/>
    <numFmt numFmtId="167" formatCode="dd&quot;-&quot;mm&quot;-&quot;yyyy"/>
    <numFmt numFmtId="168" formatCode="dd/mm"/>
  </numFmts>
  <fonts count="5" x14ac:knownFonts="1">
    <font>
      <sz val="11"/>
      <color rgb="FF000000"/>
      <name val="Calibri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583FF"/>
        <bgColor rgb="FFB583FF"/>
      </patternFill>
    </fill>
    <fill>
      <patternFill patternType="solid">
        <fgColor rgb="FFF7CAAC"/>
        <bgColor rgb="FFF7CAAC"/>
      </patternFill>
    </fill>
    <fill>
      <patternFill patternType="solid">
        <fgColor rgb="FFB4C6E7"/>
        <bgColor rgb="FFB4C6E7"/>
      </patternFill>
    </fill>
    <fill>
      <patternFill patternType="solid">
        <fgColor rgb="FFD5A6BD"/>
        <bgColor rgb="FFD5A6BD"/>
      </patternFill>
    </fill>
    <fill>
      <patternFill patternType="solid">
        <fgColor rgb="FFFBE4D5"/>
        <bgColor rgb="FFFBE4D5"/>
      </patternFill>
    </fill>
    <fill>
      <patternFill patternType="solid">
        <fgColor rgb="FFFFE598"/>
        <bgColor rgb="FFFFE59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E598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5" tint="0.59999389629810485"/>
        <bgColor rgb="FFD5A6BD"/>
      </patternFill>
    </fill>
    <fill>
      <patternFill patternType="solid">
        <fgColor theme="5" tint="0.59999389629810485"/>
        <bgColor rgb="FFB4C6E7"/>
      </patternFill>
    </fill>
    <fill>
      <patternFill patternType="solid">
        <fgColor theme="5" tint="0.59999389629810485"/>
        <bgColor rgb="FFF7CAAC"/>
      </patternFill>
    </fill>
    <fill>
      <patternFill patternType="solid">
        <fgColor theme="5" tint="0.59999389629810485"/>
        <bgColor rgb="FFB583FF"/>
      </patternFill>
    </fill>
  </fills>
  <borders count="9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16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1" fillId="4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/>
    <xf numFmtId="14" fontId="1" fillId="0" borderId="0" xfId="0" applyNumberFormat="1" applyFont="1" applyAlignment="1">
      <alignment horizontal="right"/>
    </xf>
    <xf numFmtId="164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5" fontId="1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7" borderId="0" xfId="0" applyNumberFormat="1" applyFont="1" applyFill="1" applyBorder="1" applyAlignment="1">
      <alignment vertical="center"/>
    </xf>
    <xf numFmtId="0" fontId="4" fillId="0" borderId="0" xfId="0" applyFont="1" applyBorder="1" applyAlignment="1"/>
    <xf numFmtId="165" fontId="3" fillId="0" borderId="0" xfId="0" applyNumberFormat="1" applyFont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164" fontId="3" fillId="14" borderId="0" xfId="0" applyNumberFormat="1" applyFont="1" applyFill="1" applyBorder="1" applyAlignment="1">
      <alignment horizontal="center" vertical="center" wrapText="1"/>
    </xf>
    <xf numFmtId="164" fontId="3" fillId="15" borderId="5" xfId="0" applyNumberFormat="1" applyFont="1" applyFill="1" applyBorder="1" applyAlignment="1">
      <alignment horizontal="center" vertical="center" wrapText="1"/>
    </xf>
    <xf numFmtId="164" fontId="3" fillId="15" borderId="4" xfId="0" applyNumberFormat="1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165" fontId="3" fillId="1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167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164" fontId="1" fillId="0" borderId="3" xfId="0" applyNumberFormat="1" applyFont="1" applyFill="1" applyBorder="1" applyAlignment="1"/>
    <xf numFmtId="164" fontId="1" fillId="0" borderId="2" xfId="0" applyNumberFormat="1" applyFont="1" applyFill="1" applyBorder="1" applyAlignment="1"/>
    <xf numFmtId="165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Alignment="1"/>
    <xf numFmtId="167" fontId="1" fillId="0" borderId="0" xfId="0" applyNumberFormat="1" applyFont="1" applyFill="1" applyAlignment="1"/>
    <xf numFmtId="0" fontId="2" fillId="5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16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4" fontId="2" fillId="0" borderId="3" xfId="0" applyNumberFormat="1" applyFont="1" applyFill="1" applyBorder="1" applyAlignment="1"/>
    <xf numFmtId="164" fontId="2" fillId="0" borderId="2" xfId="0" applyNumberFormat="1" applyFont="1" applyFill="1" applyBorder="1" applyAlignment="1"/>
    <xf numFmtId="165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49" fontId="1" fillId="0" borderId="0" xfId="0" applyNumberFormat="1" applyFont="1" applyAlignment="1"/>
    <xf numFmtId="0" fontId="1" fillId="3" borderId="0" xfId="0" applyFont="1" applyFill="1" applyAlignment="1"/>
    <xf numFmtId="0" fontId="1" fillId="6" borderId="0" xfId="0" applyFont="1" applyFill="1" applyAlignment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3" fillId="0" borderId="0" xfId="0" applyFont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/>
    <xf numFmtId="166" fontId="3" fillId="0" borderId="0" xfId="0" applyNumberFormat="1" applyFont="1" applyFill="1" applyAlignment="1"/>
    <xf numFmtId="166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right"/>
    </xf>
    <xf numFmtId="164" fontId="3" fillId="12" borderId="0" xfId="0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center" vertical="center"/>
    </xf>
    <xf numFmtId="165" fontId="3" fillId="9" borderId="0" xfId="0" applyNumberFormat="1" applyFont="1" applyFill="1" applyBorder="1" applyAlignment="1">
      <alignment horizontal="center" vertical="center"/>
    </xf>
    <xf numFmtId="164" fontId="3" fillId="11" borderId="7" xfId="0" applyNumberFormat="1" applyFont="1" applyFill="1" applyBorder="1" applyAlignment="1">
      <alignment horizontal="center" vertical="center"/>
    </xf>
    <xf numFmtId="164" fontId="3" fillId="11" borderId="6" xfId="0" applyNumberFormat="1" applyFont="1" applyFill="1" applyBorder="1" applyAlignment="1">
      <alignment horizontal="center" vertical="center"/>
    </xf>
    <xf numFmtId="165" fontId="3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MI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MIR"/>
      <sheetName val="EGRESOS MIR"/>
      <sheetName val="PAA MIR"/>
      <sheetName val="PAA IP"/>
      <sheetName val="Tablas despensa y pasaje 2018"/>
      <sheetName val="Tablas ISR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>
            <v>5780</v>
          </cell>
          <cell r="C3">
            <v>486</v>
          </cell>
          <cell r="D3">
            <v>312</v>
          </cell>
          <cell r="E3">
            <v>6578</v>
          </cell>
          <cell r="F3">
            <v>7707</v>
          </cell>
          <cell r="G3">
            <v>647</v>
          </cell>
          <cell r="H3">
            <v>417</v>
          </cell>
          <cell r="I3">
            <v>8771</v>
          </cell>
        </row>
        <row r="4">
          <cell r="A4">
            <v>2</v>
          </cell>
          <cell r="B4">
            <v>6059</v>
          </cell>
          <cell r="C4">
            <v>501</v>
          </cell>
          <cell r="D4">
            <v>319</v>
          </cell>
          <cell r="E4">
            <v>6879</v>
          </cell>
          <cell r="F4">
            <v>8079</v>
          </cell>
          <cell r="G4">
            <v>667</v>
          </cell>
          <cell r="H4">
            <v>425</v>
          </cell>
          <cell r="I4">
            <v>9171</v>
          </cell>
        </row>
        <row r="5">
          <cell r="A5">
            <v>3</v>
          </cell>
          <cell r="B5">
            <v>6351</v>
          </cell>
          <cell r="C5">
            <v>539</v>
          </cell>
          <cell r="D5">
            <v>329</v>
          </cell>
          <cell r="E5">
            <v>7219</v>
          </cell>
          <cell r="F5">
            <v>8469</v>
          </cell>
          <cell r="G5">
            <v>718</v>
          </cell>
          <cell r="H5">
            <v>438</v>
          </cell>
          <cell r="I5">
            <v>9625</v>
          </cell>
        </row>
        <row r="6">
          <cell r="A6">
            <v>4</v>
          </cell>
          <cell r="B6">
            <v>6629</v>
          </cell>
          <cell r="C6">
            <v>548</v>
          </cell>
          <cell r="D6">
            <v>338</v>
          </cell>
          <cell r="E6">
            <v>7515</v>
          </cell>
          <cell r="F6">
            <v>8838</v>
          </cell>
          <cell r="G6">
            <v>732</v>
          </cell>
          <cell r="H6">
            <v>452</v>
          </cell>
          <cell r="I6">
            <v>10022</v>
          </cell>
        </row>
        <row r="7">
          <cell r="A7">
            <v>5</v>
          </cell>
          <cell r="B7">
            <v>6841</v>
          </cell>
          <cell r="C7">
            <v>559</v>
          </cell>
          <cell r="D7">
            <v>350</v>
          </cell>
          <cell r="E7">
            <v>7750</v>
          </cell>
          <cell r="F7">
            <v>9122</v>
          </cell>
          <cell r="G7">
            <v>745</v>
          </cell>
          <cell r="H7">
            <v>466</v>
          </cell>
          <cell r="I7">
            <v>10333</v>
          </cell>
        </row>
        <row r="8">
          <cell r="A8">
            <v>6</v>
          </cell>
          <cell r="B8">
            <v>7262</v>
          </cell>
          <cell r="C8">
            <v>634</v>
          </cell>
          <cell r="D8">
            <v>439</v>
          </cell>
          <cell r="E8">
            <v>8335</v>
          </cell>
          <cell r="F8">
            <v>9683</v>
          </cell>
          <cell r="G8">
            <v>845</v>
          </cell>
          <cell r="H8">
            <v>586</v>
          </cell>
          <cell r="I8">
            <v>11114</v>
          </cell>
        </row>
        <row r="9">
          <cell r="A9">
            <v>7</v>
          </cell>
          <cell r="B9">
            <v>7635</v>
          </cell>
          <cell r="C9">
            <v>642</v>
          </cell>
          <cell r="D9">
            <v>450</v>
          </cell>
          <cell r="E9">
            <v>8727</v>
          </cell>
          <cell r="F9">
            <v>10181</v>
          </cell>
          <cell r="G9">
            <v>856</v>
          </cell>
          <cell r="H9">
            <v>600</v>
          </cell>
          <cell r="I9">
            <v>11637</v>
          </cell>
        </row>
        <row r="10">
          <cell r="A10">
            <v>8</v>
          </cell>
          <cell r="B10">
            <v>7992</v>
          </cell>
          <cell r="C10">
            <v>654</v>
          </cell>
          <cell r="D10">
            <v>461</v>
          </cell>
          <cell r="E10">
            <v>9107</v>
          </cell>
          <cell r="F10">
            <v>11481</v>
          </cell>
          <cell r="G10">
            <v>871</v>
          </cell>
          <cell r="H10">
            <v>615</v>
          </cell>
          <cell r="I10">
            <v>12142</v>
          </cell>
        </row>
        <row r="11">
          <cell r="A11">
            <v>9</v>
          </cell>
          <cell r="B11">
            <v>8503</v>
          </cell>
          <cell r="C11">
            <v>666</v>
          </cell>
          <cell r="D11">
            <v>474</v>
          </cell>
          <cell r="E11">
            <v>9643</v>
          </cell>
          <cell r="F11">
            <v>11337</v>
          </cell>
          <cell r="G11">
            <v>887</v>
          </cell>
          <cell r="H11">
            <v>631</v>
          </cell>
          <cell r="I11">
            <v>12855</v>
          </cell>
        </row>
        <row r="12">
          <cell r="A12">
            <v>10</v>
          </cell>
          <cell r="B12">
            <v>8966</v>
          </cell>
          <cell r="C12">
            <v>765</v>
          </cell>
          <cell r="D12">
            <v>499</v>
          </cell>
          <cell r="E12">
            <v>10230</v>
          </cell>
          <cell r="F12">
            <v>12605</v>
          </cell>
          <cell r="G12">
            <v>1046</v>
          </cell>
          <cell r="H12">
            <v>666</v>
          </cell>
          <cell r="I12">
            <v>13642</v>
          </cell>
        </row>
        <row r="13">
          <cell r="A13">
            <v>11</v>
          </cell>
          <cell r="B13">
            <v>9549</v>
          </cell>
          <cell r="C13">
            <v>801</v>
          </cell>
          <cell r="D13">
            <v>510</v>
          </cell>
          <cell r="E13">
            <v>10860</v>
          </cell>
          <cell r="F13">
            <v>13333</v>
          </cell>
          <cell r="G13">
            <v>1068</v>
          </cell>
          <cell r="H13">
            <v>679</v>
          </cell>
          <cell r="I13">
            <v>14480</v>
          </cell>
        </row>
        <row r="14">
          <cell r="A14">
            <v>12</v>
          </cell>
          <cell r="B14">
            <v>9598</v>
          </cell>
          <cell r="C14">
            <v>825</v>
          </cell>
          <cell r="D14">
            <v>517</v>
          </cell>
          <cell r="E14">
            <v>10940</v>
          </cell>
          <cell r="F14">
            <v>12798</v>
          </cell>
          <cell r="G14">
            <v>1099</v>
          </cell>
          <cell r="H14">
            <v>689</v>
          </cell>
          <cell r="I14">
            <v>14586</v>
          </cell>
        </row>
        <row r="15">
          <cell r="A15">
            <v>13</v>
          </cell>
          <cell r="B15">
            <v>9612</v>
          </cell>
          <cell r="C15">
            <v>846</v>
          </cell>
          <cell r="D15">
            <v>528</v>
          </cell>
          <cell r="E15">
            <v>10986</v>
          </cell>
          <cell r="F15">
            <v>12814</v>
          </cell>
          <cell r="G15">
            <v>1128</v>
          </cell>
          <cell r="H15">
            <v>703</v>
          </cell>
          <cell r="I15">
            <v>14645</v>
          </cell>
        </row>
        <row r="16">
          <cell r="A16">
            <v>14</v>
          </cell>
          <cell r="B16">
            <v>10476</v>
          </cell>
          <cell r="C16">
            <v>873</v>
          </cell>
          <cell r="D16">
            <v>541</v>
          </cell>
          <cell r="E16">
            <v>11890</v>
          </cell>
          <cell r="F16">
            <v>14217</v>
          </cell>
          <cell r="G16">
            <v>1163</v>
          </cell>
          <cell r="H16">
            <v>722</v>
          </cell>
          <cell r="I16">
            <v>15852</v>
          </cell>
        </row>
        <row r="17">
          <cell r="A17">
            <v>15</v>
          </cell>
          <cell r="B17">
            <v>11569</v>
          </cell>
          <cell r="C17">
            <v>905</v>
          </cell>
          <cell r="D17">
            <v>567</v>
          </cell>
          <cell r="E17">
            <v>13041</v>
          </cell>
          <cell r="F17">
            <v>15675</v>
          </cell>
          <cell r="G17">
            <v>1206</v>
          </cell>
          <cell r="H17">
            <v>755</v>
          </cell>
          <cell r="I17">
            <v>17386</v>
          </cell>
        </row>
        <row r="18">
          <cell r="A18">
            <v>16</v>
          </cell>
          <cell r="B18">
            <v>12911</v>
          </cell>
          <cell r="C18">
            <v>936</v>
          </cell>
          <cell r="D18">
            <v>585</v>
          </cell>
          <cell r="E18">
            <v>14432</v>
          </cell>
          <cell r="F18">
            <v>17213</v>
          </cell>
          <cell r="G18">
            <v>1247</v>
          </cell>
          <cell r="H18">
            <v>779</v>
          </cell>
          <cell r="I18">
            <v>19239</v>
          </cell>
        </row>
        <row r="19">
          <cell r="A19">
            <v>17</v>
          </cell>
          <cell r="B19">
            <v>14649</v>
          </cell>
          <cell r="C19">
            <v>965</v>
          </cell>
          <cell r="D19">
            <v>643</v>
          </cell>
          <cell r="E19">
            <v>16257</v>
          </cell>
          <cell r="F19">
            <v>19532</v>
          </cell>
          <cell r="G19">
            <v>1286</v>
          </cell>
          <cell r="H19">
            <v>857</v>
          </cell>
          <cell r="I19">
            <v>21675</v>
          </cell>
        </row>
        <row r="20">
          <cell r="A20">
            <v>18</v>
          </cell>
          <cell r="B20">
            <v>16640</v>
          </cell>
          <cell r="C20">
            <v>1099</v>
          </cell>
          <cell r="D20">
            <v>741</v>
          </cell>
          <cell r="E20">
            <v>18480</v>
          </cell>
          <cell r="F20">
            <v>22186</v>
          </cell>
          <cell r="G20">
            <v>1465</v>
          </cell>
          <cell r="H20">
            <v>987</v>
          </cell>
          <cell r="I20">
            <v>24638</v>
          </cell>
        </row>
        <row r="21">
          <cell r="A21">
            <v>19</v>
          </cell>
          <cell r="B21">
            <v>18400</v>
          </cell>
          <cell r="C21">
            <v>1162</v>
          </cell>
          <cell r="D21">
            <v>762</v>
          </cell>
          <cell r="E21">
            <v>20324</v>
          </cell>
          <cell r="F21">
            <v>24533</v>
          </cell>
          <cell r="G21">
            <v>1549</v>
          </cell>
          <cell r="H21">
            <v>1016</v>
          </cell>
          <cell r="I21">
            <v>27098</v>
          </cell>
        </row>
        <row r="22">
          <cell r="A22">
            <v>20</v>
          </cell>
          <cell r="B22">
            <v>20722</v>
          </cell>
          <cell r="C22">
            <v>1248</v>
          </cell>
          <cell r="D22">
            <v>840</v>
          </cell>
          <cell r="E22">
            <v>22810</v>
          </cell>
          <cell r="F22">
            <v>27627</v>
          </cell>
          <cell r="G22">
            <v>1664</v>
          </cell>
          <cell r="H22">
            <v>1119</v>
          </cell>
          <cell r="I22">
            <v>30410</v>
          </cell>
        </row>
        <row r="23">
          <cell r="A23">
            <v>21</v>
          </cell>
          <cell r="B23">
            <v>23163</v>
          </cell>
          <cell r="C23">
            <v>1254</v>
          </cell>
          <cell r="D23">
            <v>850</v>
          </cell>
          <cell r="E23">
            <v>25267</v>
          </cell>
          <cell r="F23">
            <v>30883</v>
          </cell>
          <cell r="G23">
            <v>1671</v>
          </cell>
          <cell r="H23">
            <v>1133</v>
          </cell>
          <cell r="I23">
            <v>33687</v>
          </cell>
        </row>
        <row r="24">
          <cell r="A24">
            <v>22</v>
          </cell>
          <cell r="B24">
            <v>25866</v>
          </cell>
          <cell r="C24">
            <v>1260</v>
          </cell>
          <cell r="D24">
            <v>894</v>
          </cell>
          <cell r="E24">
            <v>28020</v>
          </cell>
          <cell r="F24">
            <v>34487</v>
          </cell>
          <cell r="G24">
            <v>1680</v>
          </cell>
          <cell r="H24">
            <v>1191</v>
          </cell>
          <cell r="I24">
            <v>37358</v>
          </cell>
        </row>
        <row r="25">
          <cell r="A25">
            <v>23</v>
          </cell>
          <cell r="B25">
            <v>28657</v>
          </cell>
          <cell r="C25">
            <v>1356</v>
          </cell>
          <cell r="D25">
            <v>975</v>
          </cell>
          <cell r="E25">
            <v>30988</v>
          </cell>
          <cell r="F25">
            <v>38208</v>
          </cell>
          <cell r="G25">
            <v>1808</v>
          </cell>
          <cell r="H25">
            <v>1299</v>
          </cell>
          <cell r="I25">
            <v>41315</v>
          </cell>
        </row>
        <row r="26">
          <cell r="A26">
            <v>24</v>
          </cell>
          <cell r="B26">
            <v>31710</v>
          </cell>
          <cell r="C26">
            <v>1399</v>
          </cell>
          <cell r="D26">
            <v>1009</v>
          </cell>
          <cell r="E26">
            <v>34118</v>
          </cell>
          <cell r="F26">
            <v>42280</v>
          </cell>
          <cell r="G26">
            <v>1865</v>
          </cell>
          <cell r="H26">
            <v>1345</v>
          </cell>
          <cell r="I26">
            <v>45490</v>
          </cell>
        </row>
        <row r="27">
          <cell r="A27">
            <v>25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>
            <v>47106</v>
          </cell>
          <cell r="G27">
            <v>1920</v>
          </cell>
          <cell r="H27">
            <v>1376</v>
          </cell>
          <cell r="I27">
            <v>50402</v>
          </cell>
        </row>
        <row r="28">
          <cell r="A28">
            <v>26</v>
          </cell>
          <cell r="B28" t="str">
            <v>-</v>
          </cell>
          <cell r="C28" t="str">
            <v>-</v>
          </cell>
          <cell r="D28" t="str">
            <v>-</v>
          </cell>
          <cell r="E28" t="str">
            <v>-</v>
          </cell>
          <cell r="F28">
            <v>52580</v>
          </cell>
          <cell r="G28">
            <v>2057</v>
          </cell>
          <cell r="H28">
            <v>1457</v>
          </cell>
          <cell r="I28">
            <v>56094</v>
          </cell>
        </row>
        <row r="29">
          <cell r="A29">
            <v>27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>
            <v>58759</v>
          </cell>
          <cell r="G29">
            <v>2288</v>
          </cell>
          <cell r="H29">
            <v>1617</v>
          </cell>
          <cell r="I29">
            <v>62664</v>
          </cell>
        </row>
        <row r="30">
          <cell r="A30">
            <v>28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>
            <v>65679</v>
          </cell>
          <cell r="G30">
            <v>2544</v>
          </cell>
          <cell r="H30">
            <v>1794</v>
          </cell>
          <cell r="I30">
            <v>70017</v>
          </cell>
        </row>
        <row r="31">
          <cell r="A31">
            <v>29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>
            <v>73411</v>
          </cell>
          <cell r="G31">
            <v>2832</v>
          </cell>
          <cell r="H31">
            <v>1992</v>
          </cell>
          <cell r="I31">
            <v>78235</v>
          </cell>
        </row>
        <row r="32">
          <cell r="A32">
            <v>30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>
            <v>82995</v>
          </cell>
          <cell r="G32">
            <v>3202</v>
          </cell>
          <cell r="H32">
            <v>2238</v>
          </cell>
          <cell r="I32">
            <v>88435</v>
          </cell>
        </row>
        <row r="33">
          <cell r="A33">
            <v>31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>
            <v>95258</v>
          </cell>
          <cell r="G33">
            <v>3676</v>
          </cell>
          <cell r="H33">
            <v>2571</v>
          </cell>
          <cell r="I33">
            <v>101505</v>
          </cell>
        </row>
        <row r="34">
          <cell r="A34">
            <v>32</v>
          </cell>
          <cell r="B34" t="str">
            <v>-</v>
          </cell>
          <cell r="C34" t="str">
            <v>-</v>
          </cell>
          <cell r="D34" t="str">
            <v>-</v>
          </cell>
          <cell r="E34" t="str">
            <v>-</v>
          </cell>
          <cell r="F34">
            <v>102191</v>
          </cell>
          <cell r="G34">
            <v>4097</v>
          </cell>
          <cell r="H34">
            <v>2860</v>
          </cell>
          <cell r="I34">
            <v>109148</v>
          </cell>
        </row>
        <row r="35">
          <cell r="A35">
            <v>33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>
            <v>117512</v>
          </cell>
          <cell r="G35">
            <v>4256</v>
          </cell>
          <cell r="H35">
            <v>3060</v>
          </cell>
          <cell r="I35">
            <v>124828</v>
          </cell>
        </row>
        <row r="36">
          <cell r="A36">
            <v>34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>
            <v>124618</v>
          </cell>
          <cell r="G36">
            <v>4445</v>
          </cell>
          <cell r="H36">
            <v>3463</v>
          </cell>
          <cell r="I36">
            <v>132526</v>
          </cell>
        </row>
        <row r="37">
          <cell r="A37">
            <v>35</v>
          </cell>
          <cell r="B37" t="str">
            <v>-</v>
          </cell>
          <cell r="C37" t="str">
            <v>-</v>
          </cell>
          <cell r="D37" t="str">
            <v>-</v>
          </cell>
          <cell r="E37" t="str">
            <v>-</v>
          </cell>
          <cell r="F37">
            <v>146068</v>
          </cell>
          <cell r="G37">
            <v>5082</v>
          </cell>
          <cell r="H37">
            <v>3953</v>
          </cell>
          <cell r="I37">
            <v>155103</v>
          </cell>
        </row>
        <row r="38">
          <cell r="A38">
            <v>36</v>
          </cell>
          <cell r="B38" t="str">
            <v>-</v>
          </cell>
          <cell r="C38" t="str">
            <v>-</v>
          </cell>
          <cell r="D38" t="str">
            <v>-</v>
          </cell>
          <cell r="E38" t="str">
            <v>-</v>
          </cell>
          <cell r="F38">
            <v>166195</v>
          </cell>
          <cell r="G38" t="str">
            <v>-</v>
          </cell>
          <cell r="H38" t="str">
            <v>-</v>
          </cell>
          <cell r="I38">
            <v>166195</v>
          </cell>
        </row>
        <row r="41">
          <cell r="A41">
            <v>8</v>
          </cell>
          <cell r="F41">
            <v>11856</v>
          </cell>
          <cell r="G41">
            <v>941</v>
          </cell>
          <cell r="H41">
            <v>645</v>
          </cell>
          <cell r="I41">
            <v>13442</v>
          </cell>
        </row>
        <row r="42">
          <cell r="A42">
            <v>10</v>
          </cell>
          <cell r="F42">
            <v>12905</v>
          </cell>
          <cell r="G42">
            <v>1046</v>
          </cell>
          <cell r="H42">
            <v>666</v>
          </cell>
          <cell r="I42">
            <v>14617</v>
          </cell>
        </row>
        <row r="43">
          <cell r="A43">
            <v>11</v>
          </cell>
          <cell r="F43">
            <v>13633</v>
          </cell>
          <cell r="G43">
            <v>1093</v>
          </cell>
          <cell r="H43">
            <v>679</v>
          </cell>
          <cell r="I43">
            <v>15405</v>
          </cell>
        </row>
        <row r="44">
          <cell r="A44">
            <v>12</v>
          </cell>
          <cell r="F44">
            <v>13698</v>
          </cell>
          <cell r="G44">
            <v>1099</v>
          </cell>
          <cell r="H44">
            <v>689</v>
          </cell>
          <cell r="I44">
            <v>15486</v>
          </cell>
        </row>
        <row r="45">
          <cell r="A45">
            <v>13</v>
          </cell>
          <cell r="B45">
            <v>10287</v>
          </cell>
          <cell r="C45">
            <v>820</v>
          </cell>
          <cell r="D45">
            <v>510</v>
          </cell>
          <cell r="E45">
            <v>11617</v>
          </cell>
          <cell r="F45">
            <v>13714</v>
          </cell>
          <cell r="G45">
            <v>1128</v>
          </cell>
          <cell r="H45">
            <v>703</v>
          </cell>
          <cell r="I45">
            <v>15545</v>
          </cell>
        </row>
        <row r="46">
          <cell r="A46">
            <v>14</v>
          </cell>
          <cell r="F46">
            <v>15426.3</v>
          </cell>
          <cell r="G46">
            <v>836.88</v>
          </cell>
          <cell r="H46">
            <v>564.17999999999995</v>
          </cell>
          <cell r="I46">
            <v>16827.359999999997</v>
          </cell>
        </row>
        <row r="47">
          <cell r="A47">
            <v>17</v>
          </cell>
          <cell r="F47">
            <v>19032</v>
          </cell>
          <cell r="G47">
            <v>1286</v>
          </cell>
          <cell r="H47">
            <v>857</v>
          </cell>
          <cell r="I47">
            <v>21175</v>
          </cell>
        </row>
        <row r="48">
          <cell r="A48">
            <v>20</v>
          </cell>
          <cell r="F48">
            <v>28227.599999999999</v>
          </cell>
          <cell r="G48">
            <v>1671</v>
          </cell>
          <cell r="H48">
            <v>1133</v>
          </cell>
          <cell r="I48">
            <v>31031.599999999999</v>
          </cell>
        </row>
      </sheetData>
      <sheetData sheetId="5">
        <row r="4">
          <cell r="A4">
            <v>0.01</v>
          </cell>
          <cell r="B4">
            <v>285.45</v>
          </cell>
          <cell r="C4">
            <v>0</v>
          </cell>
          <cell r="D4">
            <v>1.92</v>
          </cell>
        </row>
        <row r="5">
          <cell r="A5">
            <v>285.45999999999998</v>
          </cell>
          <cell r="B5">
            <v>2422.8000000000002</v>
          </cell>
          <cell r="C5">
            <v>5.55</v>
          </cell>
          <cell r="D5">
            <v>6.4</v>
          </cell>
        </row>
        <row r="6">
          <cell r="A6">
            <v>2422.81</v>
          </cell>
          <cell r="B6">
            <v>4257.8999999999996</v>
          </cell>
          <cell r="C6">
            <v>142.19999999999999</v>
          </cell>
          <cell r="D6">
            <v>10.88</v>
          </cell>
        </row>
        <row r="7">
          <cell r="A7">
            <v>4257.91</v>
          </cell>
          <cell r="B7">
            <v>4949.55</v>
          </cell>
          <cell r="C7">
            <v>341.85</v>
          </cell>
          <cell r="D7">
            <v>16</v>
          </cell>
        </row>
        <row r="8">
          <cell r="A8">
            <v>4949.5600000000004</v>
          </cell>
          <cell r="B8">
            <v>5925.9</v>
          </cell>
          <cell r="C8">
            <v>452.55</v>
          </cell>
          <cell r="D8">
            <v>17.920000000000002</v>
          </cell>
        </row>
        <row r="9">
          <cell r="A9">
            <v>5925.91</v>
          </cell>
          <cell r="B9">
            <v>11951.85</v>
          </cell>
          <cell r="C9">
            <v>627.6</v>
          </cell>
          <cell r="D9">
            <v>21.36</v>
          </cell>
        </row>
        <row r="10">
          <cell r="A10">
            <v>11951.86</v>
          </cell>
          <cell r="B10">
            <v>18837.75</v>
          </cell>
          <cell r="C10">
            <v>1914.75</v>
          </cell>
          <cell r="D10">
            <v>23.52</v>
          </cell>
        </row>
        <row r="11">
          <cell r="A11">
            <v>18837.759999999998</v>
          </cell>
          <cell r="B11">
            <v>35964.300000000003</v>
          </cell>
          <cell r="C11">
            <v>3534.3</v>
          </cell>
          <cell r="D11">
            <v>30</v>
          </cell>
        </row>
        <row r="12">
          <cell r="A12">
            <v>35964.31</v>
          </cell>
          <cell r="B12">
            <v>47952.3</v>
          </cell>
          <cell r="C12">
            <v>8672.25</v>
          </cell>
          <cell r="D12">
            <v>32</v>
          </cell>
        </row>
        <row r="13">
          <cell r="A13">
            <v>47952.31</v>
          </cell>
          <cell r="B13">
            <v>143856.9</v>
          </cell>
          <cell r="C13">
            <v>12508.35</v>
          </cell>
          <cell r="D13">
            <v>34</v>
          </cell>
        </row>
        <row r="14">
          <cell r="A14">
            <v>143856.91</v>
          </cell>
          <cell r="B14" t="str">
            <v>En adelante</v>
          </cell>
          <cell r="C14">
            <v>45115.95</v>
          </cell>
          <cell r="D14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81"/>
  <sheetViews>
    <sheetView tabSelected="1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I7" sqref="I7"/>
    </sheetView>
  </sheetViews>
  <sheetFormatPr baseColWidth="10" defaultColWidth="14.42578125" defaultRowHeight="15" customHeight="1" x14ac:dyDescent="0.2"/>
  <cols>
    <col min="1" max="2" width="4.85546875" style="8" hidden="1" customWidth="1"/>
    <col min="3" max="3" width="29.85546875" style="8" hidden="1" customWidth="1"/>
    <col min="4" max="4" width="9.7109375" style="8" hidden="1" customWidth="1"/>
    <col min="5" max="5" width="10.140625" style="8" hidden="1" customWidth="1"/>
    <col min="6" max="6" width="13.42578125" style="8" hidden="1" customWidth="1"/>
    <col min="7" max="7" width="10.28515625" style="8" hidden="1" customWidth="1"/>
    <col min="8" max="8" width="14.140625" style="8" hidden="1" customWidth="1"/>
    <col min="9" max="9" width="19.42578125" style="9" customWidth="1"/>
    <col min="10" max="10" width="6.5703125" style="8" hidden="1" customWidth="1"/>
    <col min="11" max="11" width="6.7109375" style="8" hidden="1" customWidth="1"/>
    <col min="12" max="15" width="10.42578125" style="8" hidden="1" customWidth="1"/>
    <col min="16" max="16" width="23" style="8" hidden="1" customWidth="1"/>
    <col min="17" max="20" width="10" style="8" hidden="1" customWidth="1"/>
    <col min="21" max="21" width="3.42578125" style="8" customWidth="1"/>
    <col min="22" max="22" width="5" style="8" hidden="1" customWidth="1"/>
    <col min="23" max="23" width="3.85546875" style="8" customWidth="1"/>
    <col min="24" max="24" width="2.85546875" style="8" customWidth="1"/>
    <col min="25" max="25" width="10" style="8" hidden="1" customWidth="1"/>
    <col min="26" max="26" width="12.5703125" style="8" hidden="1" customWidth="1"/>
    <col min="27" max="27" width="14.42578125" style="8" hidden="1" customWidth="1"/>
    <col min="28" max="29" width="10" style="8" hidden="1" customWidth="1"/>
    <col min="30" max="30" width="11.7109375" style="8" hidden="1" customWidth="1"/>
    <col min="31" max="31" width="14.5703125" style="8" hidden="1" customWidth="1"/>
    <col min="32" max="32" width="14.42578125" style="8" hidden="1" customWidth="1"/>
    <col min="33" max="33" width="11.28515625" style="8" hidden="1" customWidth="1"/>
    <col min="34" max="34" width="12.28515625" style="8" hidden="1" customWidth="1"/>
    <col min="35" max="35" width="10" style="8" hidden="1" customWidth="1"/>
    <col min="36" max="36" width="11.42578125" style="8" hidden="1" customWidth="1"/>
    <col min="37" max="37" width="13" style="8" hidden="1" customWidth="1"/>
    <col min="38" max="38" width="12.5703125" style="8" hidden="1" customWidth="1"/>
    <col min="39" max="39" width="13.28515625" style="8" hidden="1" customWidth="1"/>
    <col min="40" max="40" width="12.5703125" style="8" hidden="1" customWidth="1"/>
    <col min="41" max="41" width="14.42578125" style="8" hidden="1" customWidth="1"/>
    <col min="42" max="43" width="10" style="8" hidden="1" customWidth="1"/>
    <col min="44" max="44" width="11.7109375" style="8" hidden="1" customWidth="1"/>
    <col min="45" max="45" width="12.28515625" style="8" hidden="1" customWidth="1"/>
    <col min="46" max="46" width="10" style="8" hidden="1" customWidth="1"/>
    <col min="47" max="47" width="11.42578125" style="8" hidden="1" customWidth="1"/>
    <col min="48" max="48" width="13.28515625" style="8" hidden="1" customWidth="1"/>
    <col min="49" max="49" width="11.42578125" style="8" hidden="1" customWidth="1"/>
    <col min="50" max="60" width="10" style="8" hidden="1" customWidth="1"/>
    <col min="61" max="61" width="12.42578125" style="8" hidden="1" customWidth="1"/>
    <col min="62" max="65" width="10" style="8" hidden="1" customWidth="1"/>
    <col min="66" max="66" width="11.42578125" style="8" hidden="1" customWidth="1"/>
    <col min="67" max="67" width="13.28515625" style="8" hidden="1" customWidth="1"/>
    <col min="68" max="68" width="10" style="8" hidden="1" customWidth="1"/>
    <col min="69" max="69" width="13.5703125" style="8" hidden="1" customWidth="1"/>
    <col min="70" max="72" width="10" style="8" hidden="1" customWidth="1"/>
    <col min="73" max="73" width="9.85546875" style="8" customWidth="1"/>
    <col min="74" max="74" width="13.42578125" style="8" customWidth="1"/>
    <col min="75" max="75" width="11.7109375" style="8" customWidth="1"/>
    <col min="76" max="76" width="10.5703125" style="8" customWidth="1"/>
    <col min="77" max="77" width="10" style="8" customWidth="1"/>
    <col min="78" max="78" width="11.140625" style="8" customWidth="1"/>
    <col min="79" max="79" width="11" style="8" customWidth="1"/>
    <col min="80" max="80" width="11.85546875" style="8" customWidth="1"/>
    <col min="81" max="81" width="11.28515625" style="8" customWidth="1"/>
    <col min="82" max="82" width="11.7109375" style="8" customWidth="1"/>
    <col min="83" max="84" width="10.7109375" style="8" bestFit="1" customWidth="1"/>
    <col min="85" max="85" width="11.28515625" style="8" customWidth="1"/>
    <col min="86" max="86" width="12.7109375" style="8" customWidth="1"/>
    <col min="87" max="16384" width="14.42578125" style="8"/>
  </cols>
  <sheetData>
    <row r="1" spans="1:94" ht="33.75" hidden="1" customHeight="1" x14ac:dyDescent="0.2">
      <c r="O1" s="10"/>
      <c r="P1" s="11">
        <v>43465</v>
      </c>
      <c r="Q1" s="10"/>
      <c r="R1" s="10"/>
      <c r="S1" s="10"/>
      <c r="Z1" s="12"/>
      <c r="AA1" s="12"/>
      <c r="AB1" s="12"/>
      <c r="AC1" s="12"/>
      <c r="AD1" s="13" t="s">
        <v>313</v>
      </c>
      <c r="AE1" s="14">
        <v>43372</v>
      </c>
      <c r="AF1" s="12"/>
      <c r="AG1" s="12"/>
      <c r="AH1" s="13" t="s">
        <v>312</v>
      </c>
      <c r="AI1" s="13" t="s">
        <v>311</v>
      </c>
      <c r="AJ1" s="13" t="s">
        <v>310</v>
      </c>
      <c r="AK1" s="13" t="s">
        <v>315</v>
      </c>
      <c r="AL1" s="12"/>
      <c r="AM1" s="13" t="s">
        <v>314</v>
      </c>
      <c r="AR1" s="15" t="s">
        <v>313</v>
      </c>
      <c r="AS1" s="15" t="s">
        <v>312</v>
      </c>
      <c r="AT1" s="15" t="s">
        <v>311</v>
      </c>
      <c r="AU1" s="15" t="s">
        <v>310</v>
      </c>
      <c r="AV1" s="16"/>
      <c r="BA1" s="17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</row>
    <row r="2" spans="1:94" ht="12.75" hidden="1" x14ac:dyDescent="0.2">
      <c r="O2" s="10"/>
      <c r="P2" s="10"/>
      <c r="Q2" s="10"/>
      <c r="R2" s="10"/>
      <c r="S2" s="19"/>
      <c r="Z2" s="12"/>
      <c r="AA2" s="12"/>
      <c r="AB2" s="12"/>
      <c r="AC2" s="12"/>
      <c r="AD2" s="20">
        <v>88.36</v>
      </c>
      <c r="AE2" s="12"/>
      <c r="AF2" s="12"/>
      <c r="AG2" s="12"/>
      <c r="AH2" s="21">
        <v>0.17499999999999999</v>
      </c>
      <c r="AI2" s="21">
        <v>0.03</v>
      </c>
      <c r="AJ2" s="21">
        <v>0.02</v>
      </c>
      <c r="AK2" s="21">
        <v>4.8000000000000001E-2</v>
      </c>
      <c r="AL2" s="12"/>
      <c r="AM2" s="21">
        <v>0.115</v>
      </c>
      <c r="AO2" s="22"/>
      <c r="AR2" s="21">
        <v>88.36</v>
      </c>
      <c r="AS2" s="21">
        <v>0.17499999999999999</v>
      </c>
      <c r="AT2" s="21">
        <v>0.03</v>
      </c>
      <c r="AU2" s="21">
        <v>0.02</v>
      </c>
      <c r="AV2" s="23"/>
      <c r="AW2" s="22"/>
      <c r="BA2" s="24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4" ht="12.75" hidden="1" customHeight="1" x14ac:dyDescent="0.2">
      <c r="A3" s="25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/>
      <c r="AL3" s="89" t="s">
        <v>309</v>
      </c>
      <c r="AM3" s="90"/>
      <c r="AN3" s="85" t="s">
        <v>308</v>
      </c>
      <c r="AO3" s="86"/>
      <c r="AP3" s="86"/>
      <c r="AQ3" s="86"/>
      <c r="AR3" s="86"/>
      <c r="AS3" s="86"/>
      <c r="AT3" s="86"/>
      <c r="AU3" s="86"/>
      <c r="AV3" s="27"/>
      <c r="AW3" s="87" t="s">
        <v>307</v>
      </c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91" t="s">
        <v>306</v>
      </c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28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H3" s="30"/>
    </row>
    <row r="4" spans="1:94" ht="57.75" customHeight="1" thickBot="1" x14ac:dyDescent="0.25">
      <c r="A4" s="25" t="s">
        <v>304</v>
      </c>
      <c r="B4" s="25" t="s">
        <v>303</v>
      </c>
      <c r="C4" s="26" t="s">
        <v>300</v>
      </c>
      <c r="D4" s="26" t="s">
        <v>302</v>
      </c>
      <c r="E4" s="26" t="s">
        <v>301</v>
      </c>
      <c r="F4" s="26" t="s">
        <v>300</v>
      </c>
      <c r="G4" s="26" t="s">
        <v>299</v>
      </c>
      <c r="H4" s="26" t="s">
        <v>298</v>
      </c>
      <c r="I4" s="31" t="s">
        <v>297</v>
      </c>
      <c r="J4" s="31" t="s">
        <v>296</v>
      </c>
      <c r="K4" s="31" t="s">
        <v>295</v>
      </c>
      <c r="L4" s="31" t="s">
        <v>294</v>
      </c>
      <c r="M4" s="31" t="s">
        <v>293</v>
      </c>
      <c r="N4" s="31" t="s">
        <v>292</v>
      </c>
      <c r="O4" s="31" t="s">
        <v>291</v>
      </c>
      <c r="P4" s="31" t="s">
        <v>290</v>
      </c>
      <c r="Q4" s="31" t="s">
        <v>289</v>
      </c>
      <c r="R4" s="31" t="s">
        <v>288</v>
      </c>
      <c r="S4" s="31" t="s">
        <v>287</v>
      </c>
      <c r="T4" s="31" t="s">
        <v>286</v>
      </c>
      <c r="U4" s="31" t="s">
        <v>285</v>
      </c>
      <c r="V4" s="31" t="s">
        <v>284</v>
      </c>
      <c r="W4" s="31" t="s">
        <v>283</v>
      </c>
      <c r="X4" s="31" t="s">
        <v>282</v>
      </c>
      <c r="Y4" s="31" t="s">
        <v>327</v>
      </c>
      <c r="Z4" s="31" t="s">
        <v>281</v>
      </c>
      <c r="AA4" s="32" t="s">
        <v>280</v>
      </c>
      <c r="AB4" s="32" t="s">
        <v>279</v>
      </c>
      <c r="AC4" s="32" t="s">
        <v>278</v>
      </c>
      <c r="AD4" s="32" t="s">
        <v>277</v>
      </c>
      <c r="AE4" s="32" t="s">
        <v>276</v>
      </c>
      <c r="AF4" s="32" t="s">
        <v>275</v>
      </c>
      <c r="AG4" s="32" t="s">
        <v>274</v>
      </c>
      <c r="AH4" s="32" t="s">
        <v>273</v>
      </c>
      <c r="AI4" s="32" t="s">
        <v>243</v>
      </c>
      <c r="AJ4" s="32" t="s">
        <v>242</v>
      </c>
      <c r="AK4" s="32" t="s">
        <v>241</v>
      </c>
      <c r="AL4" s="32" t="s">
        <v>240</v>
      </c>
      <c r="AM4" s="33" t="s">
        <v>272</v>
      </c>
      <c r="AN4" s="34" t="s">
        <v>271</v>
      </c>
      <c r="AO4" s="35" t="s">
        <v>270</v>
      </c>
      <c r="AP4" s="35" t="s">
        <v>269</v>
      </c>
      <c r="AQ4" s="35" t="s">
        <v>268</v>
      </c>
      <c r="AR4" s="35" t="s">
        <v>239</v>
      </c>
      <c r="AS4" s="35" t="s">
        <v>267</v>
      </c>
      <c r="AT4" s="35" t="s">
        <v>266</v>
      </c>
      <c r="AU4" s="35" t="s">
        <v>265</v>
      </c>
      <c r="AV4" s="35" t="s">
        <v>264</v>
      </c>
      <c r="AW4" s="36" t="s">
        <v>263</v>
      </c>
      <c r="AX4" s="37" t="s">
        <v>262</v>
      </c>
      <c r="AY4" s="37" t="s">
        <v>261</v>
      </c>
      <c r="AZ4" s="37" t="s">
        <v>260</v>
      </c>
      <c r="BA4" s="37" t="s">
        <v>259</v>
      </c>
      <c r="BB4" s="37" t="s">
        <v>258</v>
      </c>
      <c r="BC4" s="37" t="s">
        <v>257</v>
      </c>
      <c r="BD4" s="37" t="s">
        <v>256</v>
      </c>
      <c r="BE4" s="37" t="s">
        <v>255</v>
      </c>
      <c r="BF4" s="37" t="s">
        <v>254</v>
      </c>
      <c r="BG4" s="37" t="s">
        <v>253</v>
      </c>
      <c r="BH4" s="37" t="s">
        <v>252</v>
      </c>
      <c r="BI4" s="37" t="s">
        <v>251</v>
      </c>
      <c r="BJ4" s="38" t="s">
        <v>250</v>
      </c>
      <c r="BK4" s="38" t="s">
        <v>249</v>
      </c>
      <c r="BL4" s="38" t="s">
        <v>248</v>
      </c>
      <c r="BM4" s="39" t="s">
        <v>239</v>
      </c>
      <c r="BN4" s="38" t="s">
        <v>247</v>
      </c>
      <c r="BO4" s="38" t="s">
        <v>246</v>
      </c>
      <c r="BP4" s="38" t="s">
        <v>245</v>
      </c>
      <c r="BQ4" s="38" t="s">
        <v>244</v>
      </c>
      <c r="BR4" s="38" t="s">
        <v>243</v>
      </c>
      <c r="BS4" s="38" t="s">
        <v>242</v>
      </c>
      <c r="BT4" s="38" t="s">
        <v>241</v>
      </c>
      <c r="BU4" s="38" t="s">
        <v>240</v>
      </c>
      <c r="BV4" s="40" t="s">
        <v>316</v>
      </c>
      <c r="BW4" s="40" t="s">
        <v>317</v>
      </c>
      <c r="BX4" s="40" t="s">
        <v>318</v>
      </c>
      <c r="BY4" s="41" t="s">
        <v>239</v>
      </c>
      <c r="BZ4" s="40" t="s">
        <v>319</v>
      </c>
      <c r="CA4" s="40" t="s">
        <v>320</v>
      </c>
      <c r="CB4" s="40" t="s">
        <v>321</v>
      </c>
      <c r="CC4" s="40" t="s">
        <v>322</v>
      </c>
      <c r="CD4" s="40" t="s">
        <v>323</v>
      </c>
      <c r="CE4" s="40" t="s">
        <v>324</v>
      </c>
      <c r="CF4" s="40" t="s">
        <v>325</v>
      </c>
      <c r="CG4" s="40" t="s">
        <v>326</v>
      </c>
      <c r="CH4" s="42" t="s">
        <v>305</v>
      </c>
    </row>
    <row r="5" spans="1:94" ht="27" customHeight="1" thickTop="1" x14ac:dyDescent="0.2">
      <c r="A5" s="8">
        <v>1</v>
      </c>
      <c r="B5" s="8">
        <v>101</v>
      </c>
      <c r="C5" s="43" t="s">
        <v>238</v>
      </c>
      <c r="D5" s="44" t="str">
        <f t="shared" ref="D5:D36" si="0">MID(C5,1,SEARCH(" ",C5,1)-1)</f>
        <v>Campos</v>
      </c>
      <c r="E5" s="44" t="str">
        <f t="shared" ref="E5:E36" si="1">MID(C5,(SEARCH(" ",C5)+1),(SEARCH(" ",C5,(SEARCH(" ",C5)+1))-SEARCH(" ",C5)))</f>
        <v xml:space="preserve">Cornejo </v>
      </c>
      <c r="F5" s="44" t="str">
        <f t="shared" ref="F5:F36" si="2">MID(C5,(SEARCH(" ",C5,(SEARCH(" ",C5)+1))+1),100)</f>
        <v>David Rogelio</v>
      </c>
      <c r="G5" s="8">
        <v>3</v>
      </c>
      <c r="H5" s="8" t="s">
        <v>237</v>
      </c>
      <c r="I5" s="45" t="s">
        <v>236</v>
      </c>
      <c r="J5" s="45" t="s">
        <v>226</v>
      </c>
      <c r="K5" s="46" t="s">
        <v>12</v>
      </c>
      <c r="L5" s="46" t="s">
        <v>5</v>
      </c>
      <c r="M5" s="46" t="s">
        <v>30</v>
      </c>
      <c r="N5" s="47" t="str">
        <f>IF(H5&gt;0,MID(H5,9,2)&amp;"/"&amp;MID(H5,7,2)&amp;"/"&amp;MID(H5,5,2),0)</f>
        <v>07/12/67</v>
      </c>
      <c r="O5" s="48">
        <f t="shared" ref="O5:O36" ca="1" si="3">IF(N5&gt;0,DATEDIF(N5,TODAY(),"Y"),"N/A")</f>
        <v>50</v>
      </c>
      <c r="P5" s="1">
        <v>41352</v>
      </c>
      <c r="Q5" s="2" t="str">
        <f t="shared" ref="Q5:Q36" si="4">IF(P5&gt;0,(DATEDIF(P5,$P$1,"y")&amp;" años, "&amp;DATEDIF(P5,$P$1,"YM")&amp;" meses, "&amp;DATEDIF(P5,$P$1,"md")&amp;" dias."),0)</f>
        <v>5 años, 9 meses, 12 dias.</v>
      </c>
      <c r="R5" s="2">
        <f t="shared" ref="R5:R36" si="5">DATEDIF(P5,$P$1,"y")</f>
        <v>5</v>
      </c>
      <c r="S5" s="2">
        <f t="shared" ref="S5:S36" si="6">DATEDIF(P5,$P$1,"m")</f>
        <v>69</v>
      </c>
      <c r="T5" s="2">
        <f t="shared" ref="T5:T36" si="7">DATEDIF(P5,$P$1,"d")</f>
        <v>2113</v>
      </c>
      <c r="U5" s="46" t="s">
        <v>90</v>
      </c>
      <c r="V5" s="46">
        <v>27</v>
      </c>
      <c r="W5" s="46" t="s">
        <v>16</v>
      </c>
      <c r="X5" s="46">
        <v>40</v>
      </c>
      <c r="Y5" s="46" t="s">
        <v>15</v>
      </c>
      <c r="Z5" s="46" t="s">
        <v>1</v>
      </c>
      <c r="AA5" s="49">
        <f>IF(C5="Plaza sin presupuesto",0,IF(W5="si",IF(X5=30,VLOOKUP(V5,'[1]Tablas despensa y pasaje 2018'!$A$3:$I$38,2,0),IF(PLANTILLA!X5=40,VLOOKUP(PLANTILLA!V5,'[1]Tablas despensa y pasaje 2018'!$A$3:$I$38,6,0))),IF(X5=30,VLOOKUP(V5,'[1]Tablas despensa y pasaje 2018'!$A$41:$I$48,2,0),IF(X5=40,VLOOKUP(V5,'[1]Tablas despensa y pasaje 2018'!$A$41:$I$48,6,0),0))))</f>
        <v>58759</v>
      </c>
      <c r="AB5" s="49">
        <f>IF(C5="Plaza sin presupuesto",0,IF(W5="si",IF(X5=30,VLOOKUP(V5,'[1]Tablas despensa y pasaje 2018'!$A$3:$I$38,3,0),IF(PLANTILLA!X5=40,VLOOKUP(PLANTILLA!V5,'[1]Tablas despensa y pasaje 2018'!$A$3:$I$38,7,0))),IF(X5=30,VLOOKUP(V5,'[1]Tablas despensa y pasaje 2018'!$A$41:$I$48,3,0),IF(X5=40,VLOOKUP(V5,'[1]Tablas despensa y pasaje 2018'!$A$41:$I$48,7,0),0))))</f>
        <v>2288</v>
      </c>
      <c r="AC5" s="49">
        <f>IF(C5="Plaza sin presupuesto",0,IF(W5="si",IF(X5=30,VLOOKUP(V5,'[1]Tablas despensa y pasaje 2018'!$A$3:$I$38,4,0),IF(PLANTILLA!X5=40,VLOOKUP(PLANTILLA!V5,'[1]Tablas despensa y pasaje 2018'!$A$3:$I$38,8,0))),IF(X5=30,VLOOKUP(V5,'[1]Tablas despensa y pasaje 2018'!$A$41:$I$48,4,0),IF(X5=40,VLOOKUP(V5,'[1]Tablas despensa y pasaje 2018'!$A$41:$I$48,8,0),0))))</f>
        <v>1617</v>
      </c>
      <c r="AD5" s="49">
        <f t="shared" ref="AD5:AD36" si="8">IF(AND(K5="SEIJAL",Y5="B"),AA5*0.03,0)</f>
        <v>0</v>
      </c>
      <c r="AE5" s="49">
        <f t="shared" ref="AE5:AE36" si="9">IF(AND(R5&gt;=5,R5&lt;10),$AD$2*2,IF(AND(R5&gt;=10,R5&lt;15),$AD$2*3,IF(AND(R5&gt;=15,R5&lt;20),$AD$2*4,IF(AND(R5&gt;=20,R5&lt;25),$AD$2*5,IF(AND(R5&gt;=25,R5&lt;30),$AD$2*6,IF(AND(R5&gt;=30,R5&lt;35),$AD$2*7,IF(AND(R5&gt;=35,R5&lt;40),$AD$2*8))))))*1)</f>
        <v>176.72</v>
      </c>
      <c r="AF5" s="49">
        <v>0</v>
      </c>
      <c r="AG5" s="49">
        <f t="shared" ref="AG5:AG36" si="10">IF(T5&lt;365,((((T5)*50)/365)*(AA5/30)),(AA5/30)*50)</f>
        <v>97931.666666666672</v>
      </c>
      <c r="AH5" s="49">
        <f t="shared" ref="AH5:AH36" si="11">IF(T5&gt;364,((AA5/30)*5),((T5*5)/365)*(AA5/30))</f>
        <v>9793.1666666666679</v>
      </c>
      <c r="AI5" s="49">
        <f t="shared" ref="AI5:AI17" si="12">AA5*$AH$2</f>
        <v>10282.824999999999</v>
      </c>
      <c r="AJ5" s="49">
        <f t="shared" ref="AJ5:AJ17" si="13">AA5*$AI$2</f>
        <v>1762.77</v>
      </c>
      <c r="AK5" s="49">
        <f t="shared" ref="AK5:AK17" si="14">AA5*$AJ$2</f>
        <v>1175.18</v>
      </c>
      <c r="AL5" s="49">
        <f t="shared" ref="AL5:AL17" si="15">AA5*$AK$2</f>
        <v>2820.4320000000002</v>
      </c>
      <c r="AM5" s="50">
        <f>IF((SUM(AA5:AE5)/2)=0,0,(((((SUM(AA5:AE5)/2)-(VLOOKUP((SUM(AA5:AE5)/2),'[1]Tablas ISR'!$A$4:$D$14,1,TRUE)))*(VLOOKUP((SUM(AA5:AE5)/2),'[1]Tablas ISR'!$A$4:$D$14,4,TRUE)))/100)+(VLOOKUP((SUM(AA5:AE5)/2),'[1]Tablas ISR'!$A$4:$D$14,3,TRUE)))*2)</f>
        <v>14618.160000000002</v>
      </c>
      <c r="AN5" s="51">
        <f t="shared" ref="AN5:AN17" si="16">AA5*$AM$2</f>
        <v>6757.2849999999999</v>
      </c>
      <c r="AO5" s="49">
        <f t="shared" ref="AO5:AO17" si="17">AA5/2</f>
        <v>29379.5</v>
      </c>
      <c r="AP5" s="49">
        <f t="shared" ref="AP5:AP17" si="18">AB5/2</f>
        <v>1144</v>
      </c>
      <c r="AQ5" s="49">
        <f t="shared" ref="AQ5:AQ17" si="19">AC5/2</f>
        <v>808.5</v>
      </c>
      <c r="AR5" s="49">
        <f t="shared" ref="AR5:AR17" si="20">AD5/2</f>
        <v>0</v>
      </c>
      <c r="AS5" s="49">
        <f t="shared" ref="AS5:AS17" si="21">AE5/2</f>
        <v>88.36</v>
      </c>
      <c r="AT5" s="49">
        <f t="shared" ref="AT5:AT17" si="22">AI5/2</f>
        <v>5141.4124999999995</v>
      </c>
      <c r="AU5" s="49">
        <f t="shared" ref="AU5:AU17" si="23">AJ5/2</f>
        <v>881.38499999999999</v>
      </c>
      <c r="AV5" s="49">
        <f t="shared" ref="AV5:AV17" si="24">AL5/2</f>
        <v>1410.2160000000001</v>
      </c>
      <c r="AW5" s="52">
        <f t="shared" ref="AW5:AW17" si="25">(AA5+AB5+AC5+AD5+AE5-AM5-AN5)/2</f>
        <v>20732.637499999997</v>
      </c>
      <c r="AX5" s="3">
        <f t="shared" ref="AX5:AX17" si="26">AA5/30</f>
        <v>1958.6333333333334</v>
      </c>
      <c r="AY5" s="3">
        <f t="shared" ref="AY5:AY17" si="27">AB5/30</f>
        <v>76.266666666666666</v>
      </c>
      <c r="AZ5" s="3">
        <f t="shared" ref="AZ5:AZ17" si="28">AC5/30</f>
        <v>53.9</v>
      </c>
      <c r="BA5" s="3">
        <f t="shared" ref="BA5:BA17" si="29">AD5/30</f>
        <v>0</v>
      </c>
      <c r="BB5" s="3">
        <f t="shared" ref="BB5:BB17" si="30">AE5/30</f>
        <v>5.8906666666666663</v>
      </c>
      <c r="BC5" s="3">
        <f t="shared" ref="BC5:BC17" si="31">AF5/365</f>
        <v>0</v>
      </c>
      <c r="BD5" s="3">
        <f t="shared" ref="BD5:BD17" si="32">AG5/365</f>
        <v>268.3059360730594</v>
      </c>
      <c r="BE5" s="3">
        <f t="shared" ref="BE5:BE17" si="33">AH5/365</f>
        <v>26.830593607305939</v>
      </c>
      <c r="BF5" s="3">
        <f t="shared" ref="BF5:BF17" si="34">AI5/30</f>
        <v>342.76083333333332</v>
      </c>
      <c r="BG5" s="3">
        <f t="shared" ref="BG5:BG17" si="35">AJ5/30</f>
        <v>58.759</v>
      </c>
      <c r="BH5" s="3">
        <f t="shared" ref="BH5:BH17" si="36">AK5/30</f>
        <v>39.172666666666672</v>
      </c>
      <c r="BI5" s="3">
        <f t="shared" ref="BI5:BI17" si="37">AL5/30</f>
        <v>94.014400000000009</v>
      </c>
      <c r="BJ5" s="3">
        <f t="shared" ref="BJ5:BJ17" si="38">AX5*30</f>
        <v>58759</v>
      </c>
      <c r="BK5" s="3">
        <f t="shared" ref="BK5:BK17" si="39">AY5*30</f>
        <v>2288</v>
      </c>
      <c r="BL5" s="3">
        <f t="shared" ref="BL5:BL17" si="40">AZ5*30</f>
        <v>1617</v>
      </c>
      <c r="BM5" s="3">
        <f t="shared" ref="BM5:BM17" si="41">BA5*30</f>
        <v>0</v>
      </c>
      <c r="BN5" s="3">
        <f t="shared" ref="BN5:BN17" si="42">BB5*30</f>
        <v>176.72</v>
      </c>
      <c r="BO5" s="3">
        <f t="shared" ref="BO5:BO17" si="43">AF5/12</f>
        <v>0</v>
      </c>
      <c r="BP5" s="3">
        <f t="shared" ref="BP5:BP17" si="44">AG5/12</f>
        <v>8160.9722222222226</v>
      </c>
      <c r="BQ5" s="3">
        <f t="shared" ref="BQ5:BQ17" si="45">AH5/12</f>
        <v>816.09722222222229</v>
      </c>
      <c r="BR5" s="3">
        <f t="shared" ref="BR5:BR17" si="46">BF5*30</f>
        <v>10282.824999999999</v>
      </c>
      <c r="BS5" s="3">
        <f t="shared" ref="BS5:BS17" si="47">BG5*30</f>
        <v>1762.77</v>
      </c>
      <c r="BT5" s="3">
        <f t="shared" ref="BT5:BT17" si="48">BH5*30</f>
        <v>1175.18</v>
      </c>
      <c r="BU5" s="3">
        <f t="shared" ref="BU5:BU17" si="49">BI5*30</f>
        <v>2820.4320000000002</v>
      </c>
      <c r="BV5" s="53">
        <f t="shared" ref="BV5:BV36" si="50">AA5*12</f>
        <v>705108</v>
      </c>
      <c r="BW5" s="53">
        <f t="shared" ref="BW5:BW36" si="51">AB5*12</f>
        <v>27456</v>
      </c>
      <c r="BX5" s="53">
        <f t="shared" ref="BX5:BX36" si="52">AC5*12</f>
        <v>19404</v>
      </c>
      <c r="BY5" s="53">
        <f t="shared" ref="BY5:BY36" si="53">AD5*12</f>
        <v>0</v>
      </c>
      <c r="BZ5" s="53">
        <f t="shared" ref="BZ5:BZ36" si="54">AE5*12</f>
        <v>2120.64</v>
      </c>
      <c r="CA5" s="53">
        <f t="shared" ref="CA5:CA36" si="55">AF5</f>
        <v>0</v>
      </c>
      <c r="CB5" s="53">
        <f t="shared" ref="CB5:CB36" si="56">AG5</f>
        <v>97931.666666666672</v>
      </c>
      <c r="CC5" s="53">
        <f t="shared" ref="CC5:CC36" si="57">AH5</f>
        <v>9793.1666666666679</v>
      </c>
      <c r="CD5" s="53">
        <f t="shared" ref="CD5:CD36" si="58">AI5*12</f>
        <v>123393.9</v>
      </c>
      <c r="CE5" s="53">
        <f t="shared" ref="CE5:CE36" si="59">AJ5*12</f>
        <v>21153.239999999998</v>
      </c>
      <c r="CF5" s="53">
        <f t="shared" ref="CF5:CF36" si="60">AK5*12</f>
        <v>14102.16</v>
      </c>
      <c r="CG5" s="53">
        <f t="shared" ref="CG5:CG36" si="61">AL5*12</f>
        <v>33845.184000000001</v>
      </c>
      <c r="CH5" s="54">
        <f t="shared" ref="CH5:CH36" si="62">SUM(BV5:CG5)</f>
        <v>1054307.9573333333</v>
      </c>
      <c r="CI5" s="46"/>
      <c r="CJ5" s="46"/>
      <c r="CK5" s="46"/>
      <c r="CL5" s="46"/>
      <c r="CM5" s="46"/>
      <c r="CN5" s="46"/>
      <c r="CO5" s="46"/>
      <c r="CP5" s="46"/>
    </row>
    <row r="6" spans="1:94" ht="27" customHeight="1" x14ac:dyDescent="0.2">
      <c r="A6" s="8">
        <v>2</v>
      </c>
      <c r="B6" s="8">
        <v>102</v>
      </c>
      <c r="C6" s="43" t="s">
        <v>235</v>
      </c>
      <c r="D6" s="44" t="str">
        <f t="shared" si="0"/>
        <v>Contreras</v>
      </c>
      <c r="E6" s="44" t="str">
        <f t="shared" si="1"/>
        <v xml:space="preserve">Godinez </v>
      </c>
      <c r="F6" s="44" t="str">
        <f t="shared" si="2"/>
        <v>Paulina Aranzazu</v>
      </c>
      <c r="G6" s="8">
        <v>4</v>
      </c>
      <c r="H6" s="8" t="s">
        <v>234</v>
      </c>
      <c r="I6" s="45" t="s">
        <v>233</v>
      </c>
      <c r="J6" s="45" t="s">
        <v>226</v>
      </c>
      <c r="K6" s="46" t="s">
        <v>12</v>
      </c>
      <c r="L6" s="46" t="s">
        <v>17</v>
      </c>
      <c r="M6" s="46" t="s">
        <v>11</v>
      </c>
      <c r="N6" s="47" t="str">
        <f>IF(H6&gt;0,MID(H6,9,2)&amp;"/"&amp;MID(H6,7,2)&amp;"/"&amp;MID(H6,5,2),0)</f>
        <v>06/01/89</v>
      </c>
      <c r="O6" s="48">
        <f t="shared" ca="1" si="3"/>
        <v>29</v>
      </c>
      <c r="P6" s="1">
        <v>41690</v>
      </c>
      <c r="Q6" s="2" t="str">
        <f t="shared" si="4"/>
        <v>4 años, 10 meses, 11 dias.</v>
      </c>
      <c r="R6" s="2">
        <f t="shared" si="5"/>
        <v>4</v>
      </c>
      <c r="S6" s="2">
        <f t="shared" si="6"/>
        <v>58</v>
      </c>
      <c r="T6" s="2">
        <f t="shared" si="7"/>
        <v>1775</v>
      </c>
      <c r="U6" s="46" t="s">
        <v>3</v>
      </c>
      <c r="V6" s="46">
        <v>19</v>
      </c>
      <c r="W6" s="46" t="s">
        <v>16</v>
      </c>
      <c r="X6" s="46">
        <v>40</v>
      </c>
      <c r="Y6" s="46" t="s">
        <v>15</v>
      </c>
      <c r="Z6" s="46" t="s">
        <v>1</v>
      </c>
      <c r="AA6" s="49">
        <f>IF(C6="Plaza sin presupuesto",0,IF(W6="si",IF(X6=30,VLOOKUP(V6,'[1]Tablas despensa y pasaje 2018'!$A$3:$I$38,2,0),IF(PLANTILLA!X6=40,VLOOKUP(PLANTILLA!V6,'[1]Tablas despensa y pasaje 2018'!$A$3:$I$38,6,0))),IF(X6=30,VLOOKUP(V6,'[1]Tablas despensa y pasaje 2018'!$A$41:$I$48,2,0),IF(X6=40,VLOOKUP(V6,'[1]Tablas despensa y pasaje 2018'!$A$41:$I$48,6,0),0))))</f>
        <v>24533</v>
      </c>
      <c r="AB6" s="49">
        <f>IF(C6="Plaza sin presupuesto",0,IF(W6="si",IF(X6=30,VLOOKUP(V6,'[1]Tablas despensa y pasaje 2018'!$A$3:$I$38,3,0),IF(PLANTILLA!X6=40,VLOOKUP(PLANTILLA!V6,'[1]Tablas despensa y pasaje 2018'!$A$3:$I$38,7,0))),IF(X6=30,VLOOKUP(V6,'[1]Tablas despensa y pasaje 2018'!$A$41:$I$48,3,0),IF(X6=40,VLOOKUP(V6,'[1]Tablas despensa y pasaje 2018'!$A$41:$I$48,7,0),0))))</f>
        <v>1549</v>
      </c>
      <c r="AC6" s="49">
        <f>IF(C6="Plaza sin presupuesto",0,IF(W6="si",IF(X6=30,VLOOKUP(V6,'[1]Tablas despensa y pasaje 2018'!$A$3:$I$38,4,0),IF(PLANTILLA!X6=40,VLOOKUP(PLANTILLA!V6,'[1]Tablas despensa y pasaje 2018'!$A$3:$I$38,8,0))),IF(X6=30,VLOOKUP(V6,'[1]Tablas despensa y pasaje 2018'!$A$41:$I$48,4,0),IF(X6=40,VLOOKUP(V6,'[1]Tablas despensa y pasaje 2018'!$A$41:$I$48,8,0),0))))</f>
        <v>1016</v>
      </c>
      <c r="AD6" s="49">
        <f t="shared" si="8"/>
        <v>0</v>
      </c>
      <c r="AE6" s="49">
        <f t="shared" si="9"/>
        <v>0</v>
      </c>
      <c r="AF6" s="49">
        <f t="shared" ref="AF6:AF37" si="63">IF((DATEDIF(P6,$AE$1,"d"))&lt;365,((((DATEDIF(P6,$AE$1,"d"))*15)/365)*(AA6/30)),IF(AND(K6="SEIJAL",Y6="B"),((AA6+AB6+AC6+AD6+AE6)/30)*15,(AA6/30)*15))</f>
        <v>12266.5</v>
      </c>
      <c r="AG6" s="49">
        <f t="shared" si="10"/>
        <v>40888.333333333336</v>
      </c>
      <c r="AH6" s="49">
        <f t="shared" si="11"/>
        <v>4088.833333333333</v>
      </c>
      <c r="AI6" s="49">
        <f t="shared" si="12"/>
        <v>4293.2749999999996</v>
      </c>
      <c r="AJ6" s="49">
        <f t="shared" si="13"/>
        <v>735.99</v>
      </c>
      <c r="AK6" s="49">
        <f t="shared" si="14"/>
        <v>490.66</v>
      </c>
      <c r="AL6" s="49">
        <f t="shared" si="15"/>
        <v>1177.5840000000001</v>
      </c>
      <c r="AM6" s="50">
        <f>IF((SUM(AA6:AE6)/2)=0,0,(((((SUM(AA6:AE6)/2)-(VLOOKUP((SUM(AA6:AE6)/2),'[1]Tablas ISR'!$A$4:$D$14,1,TRUE)))*(VLOOKUP((SUM(AA6:AE6)/2),'[1]Tablas ISR'!$A$4:$D$14,4,TRUE)))/100)+(VLOOKUP((SUM(AA6:AE6)/2),'[1]Tablas ISR'!$A$4:$D$14,3,TRUE)))*2)</f>
        <v>4580.794656</v>
      </c>
      <c r="AN6" s="51">
        <f t="shared" si="16"/>
        <v>2821.2950000000001</v>
      </c>
      <c r="AO6" s="49">
        <f t="shared" si="17"/>
        <v>12266.5</v>
      </c>
      <c r="AP6" s="49">
        <f t="shared" si="18"/>
        <v>774.5</v>
      </c>
      <c r="AQ6" s="49">
        <f t="shared" si="19"/>
        <v>508</v>
      </c>
      <c r="AR6" s="49">
        <f t="shared" si="20"/>
        <v>0</v>
      </c>
      <c r="AS6" s="49">
        <f t="shared" si="21"/>
        <v>0</v>
      </c>
      <c r="AT6" s="49">
        <f t="shared" si="22"/>
        <v>2146.6374999999998</v>
      </c>
      <c r="AU6" s="49">
        <f t="shared" si="23"/>
        <v>367.995</v>
      </c>
      <c r="AV6" s="49">
        <f t="shared" si="24"/>
        <v>588.79200000000003</v>
      </c>
      <c r="AW6" s="52">
        <f t="shared" si="25"/>
        <v>9847.9551720000018</v>
      </c>
      <c r="AX6" s="3">
        <f t="shared" si="26"/>
        <v>817.76666666666665</v>
      </c>
      <c r="AY6" s="3">
        <f t="shared" si="27"/>
        <v>51.633333333333333</v>
      </c>
      <c r="AZ6" s="3">
        <f t="shared" si="28"/>
        <v>33.866666666666667</v>
      </c>
      <c r="BA6" s="3">
        <f t="shared" si="29"/>
        <v>0</v>
      </c>
      <c r="BB6" s="3">
        <f t="shared" si="30"/>
        <v>0</v>
      </c>
      <c r="BC6" s="3">
        <f t="shared" si="31"/>
        <v>33.606849315068494</v>
      </c>
      <c r="BD6" s="3">
        <f t="shared" si="32"/>
        <v>112.02283105022832</v>
      </c>
      <c r="BE6" s="3">
        <f t="shared" si="33"/>
        <v>11.202283105022831</v>
      </c>
      <c r="BF6" s="3">
        <f t="shared" si="34"/>
        <v>143.10916666666665</v>
      </c>
      <c r="BG6" s="3">
        <f t="shared" si="35"/>
        <v>24.533000000000001</v>
      </c>
      <c r="BH6" s="3">
        <f t="shared" si="36"/>
        <v>16.355333333333334</v>
      </c>
      <c r="BI6" s="3">
        <f t="shared" si="37"/>
        <v>39.252800000000001</v>
      </c>
      <c r="BJ6" s="3">
        <f t="shared" si="38"/>
        <v>24533</v>
      </c>
      <c r="BK6" s="3">
        <f t="shared" si="39"/>
        <v>1549</v>
      </c>
      <c r="BL6" s="3">
        <f t="shared" si="40"/>
        <v>1016</v>
      </c>
      <c r="BM6" s="3">
        <f t="shared" si="41"/>
        <v>0</v>
      </c>
      <c r="BN6" s="3">
        <f t="shared" si="42"/>
        <v>0</v>
      </c>
      <c r="BO6" s="3">
        <f t="shared" si="43"/>
        <v>1022.2083333333334</v>
      </c>
      <c r="BP6" s="3">
        <f t="shared" si="44"/>
        <v>3407.3611111111113</v>
      </c>
      <c r="BQ6" s="3">
        <f t="shared" si="45"/>
        <v>340.73611111111109</v>
      </c>
      <c r="BR6" s="3">
        <f t="shared" si="46"/>
        <v>4293.2749999999996</v>
      </c>
      <c r="BS6" s="3">
        <f t="shared" si="47"/>
        <v>735.99</v>
      </c>
      <c r="BT6" s="3">
        <f t="shared" si="48"/>
        <v>490.66</v>
      </c>
      <c r="BU6" s="3">
        <f t="shared" si="49"/>
        <v>1177.5840000000001</v>
      </c>
      <c r="BV6" s="53">
        <f t="shared" si="50"/>
        <v>294396</v>
      </c>
      <c r="BW6" s="53">
        <f t="shared" si="51"/>
        <v>18588</v>
      </c>
      <c r="BX6" s="53">
        <f t="shared" si="52"/>
        <v>12192</v>
      </c>
      <c r="BY6" s="53">
        <f t="shared" si="53"/>
        <v>0</v>
      </c>
      <c r="BZ6" s="53">
        <f t="shared" si="54"/>
        <v>0</v>
      </c>
      <c r="CA6" s="53">
        <f t="shared" si="55"/>
        <v>12266.5</v>
      </c>
      <c r="CB6" s="53">
        <f t="shared" si="56"/>
        <v>40888.333333333336</v>
      </c>
      <c r="CC6" s="53">
        <f t="shared" si="57"/>
        <v>4088.833333333333</v>
      </c>
      <c r="CD6" s="53">
        <f t="shared" si="58"/>
        <v>51519.299999999996</v>
      </c>
      <c r="CE6" s="53">
        <f t="shared" si="59"/>
        <v>8831.880000000001</v>
      </c>
      <c r="CF6" s="53">
        <f t="shared" si="60"/>
        <v>5887.92</v>
      </c>
      <c r="CG6" s="53">
        <f t="shared" si="61"/>
        <v>14131.008000000002</v>
      </c>
      <c r="CH6" s="54">
        <f t="shared" si="62"/>
        <v>462789.77466666664</v>
      </c>
      <c r="CI6" s="46"/>
      <c r="CJ6" s="46"/>
      <c r="CK6" s="46"/>
      <c r="CL6" s="46"/>
      <c r="CM6" s="46"/>
      <c r="CN6" s="46"/>
      <c r="CO6" s="46"/>
      <c r="CP6" s="46"/>
    </row>
    <row r="7" spans="1:94" ht="27" customHeight="1" x14ac:dyDescent="0.2">
      <c r="A7" s="8">
        <v>3</v>
      </c>
      <c r="B7" s="8">
        <v>103</v>
      </c>
      <c r="C7" s="43" t="s">
        <v>232</v>
      </c>
      <c r="D7" s="44" t="str">
        <f t="shared" si="0"/>
        <v>Esparza</v>
      </c>
      <c r="E7" s="44" t="str">
        <f t="shared" si="1"/>
        <v xml:space="preserve">Guillen </v>
      </c>
      <c r="F7" s="44" t="str">
        <f t="shared" si="2"/>
        <v>Homero</v>
      </c>
      <c r="G7" s="8">
        <v>2</v>
      </c>
      <c r="H7" s="8" t="s">
        <v>231</v>
      </c>
      <c r="I7" s="45" t="s">
        <v>230</v>
      </c>
      <c r="J7" s="45" t="s">
        <v>226</v>
      </c>
      <c r="K7" s="46" t="s">
        <v>23</v>
      </c>
      <c r="L7" s="46" t="s">
        <v>5</v>
      </c>
      <c r="M7" s="46" t="s">
        <v>22</v>
      </c>
      <c r="N7" s="47" t="str">
        <f>IF(H7&gt;0,MID(H7,9,2)&amp;"/"&amp;MID(H7,7,2)&amp;"/"&amp;MID(H7,5,2),0)</f>
        <v>19/12/89</v>
      </c>
      <c r="O7" s="48">
        <f t="shared" ca="1" si="3"/>
        <v>28</v>
      </c>
      <c r="P7" s="1">
        <v>41893</v>
      </c>
      <c r="Q7" s="2" t="str">
        <f t="shared" si="4"/>
        <v>4 años, 3 meses, 20 dias.</v>
      </c>
      <c r="R7" s="2">
        <f t="shared" si="5"/>
        <v>4</v>
      </c>
      <c r="S7" s="2">
        <f t="shared" si="6"/>
        <v>51</v>
      </c>
      <c r="T7" s="2">
        <f t="shared" si="7"/>
        <v>1572</v>
      </c>
      <c r="U7" s="46" t="s">
        <v>3</v>
      </c>
      <c r="V7" s="46">
        <v>14</v>
      </c>
      <c r="W7" s="46" t="s">
        <v>16</v>
      </c>
      <c r="X7" s="46">
        <v>40</v>
      </c>
      <c r="Y7" s="46" t="s">
        <v>15</v>
      </c>
      <c r="Z7" s="46" t="s">
        <v>1</v>
      </c>
      <c r="AA7" s="49">
        <f>IF(C7="Plaza sin presupuesto",0,IF(W7="si",IF(X7=30,VLOOKUP(V7,'[1]Tablas despensa y pasaje 2018'!$A$3:$I$38,2,0),IF(PLANTILLA!X7=40,VLOOKUP(PLANTILLA!V7,'[1]Tablas despensa y pasaje 2018'!$A$3:$I$38,6,0))),IF(X7=30,VLOOKUP(V7,'[1]Tablas despensa y pasaje 2018'!$A$41:$I$48,2,0),IF(X7=40,VLOOKUP(V7,'[1]Tablas despensa y pasaje 2018'!$A$41:$I$48,6,0),0))))</f>
        <v>14217</v>
      </c>
      <c r="AB7" s="49">
        <f>IF(C7="Plaza sin presupuesto",0,IF(W7="si",IF(X7=30,VLOOKUP(V7,'[1]Tablas despensa y pasaje 2018'!$A$3:$I$38,3,0),IF(PLANTILLA!X7=40,VLOOKUP(PLANTILLA!V7,'[1]Tablas despensa y pasaje 2018'!$A$3:$I$38,7,0))),IF(X7=30,VLOOKUP(V7,'[1]Tablas despensa y pasaje 2018'!$A$41:$I$48,3,0),IF(X7=40,VLOOKUP(V7,'[1]Tablas despensa y pasaje 2018'!$A$41:$I$48,7,0),0))))</f>
        <v>1163</v>
      </c>
      <c r="AC7" s="49">
        <f>IF(C7="Plaza sin presupuesto",0,IF(W7="si",IF(X7=30,VLOOKUP(V7,'[1]Tablas despensa y pasaje 2018'!$A$3:$I$38,4,0),IF(PLANTILLA!X7=40,VLOOKUP(PLANTILLA!V7,'[1]Tablas despensa y pasaje 2018'!$A$3:$I$38,8,0))),IF(X7=30,VLOOKUP(V7,'[1]Tablas despensa y pasaje 2018'!$A$41:$I$48,4,0),IF(X7=40,VLOOKUP(V7,'[1]Tablas despensa y pasaje 2018'!$A$41:$I$48,8,0),0))))</f>
        <v>722</v>
      </c>
      <c r="AD7" s="49">
        <f t="shared" si="8"/>
        <v>0</v>
      </c>
      <c r="AE7" s="49">
        <f t="shared" si="9"/>
        <v>0</v>
      </c>
      <c r="AF7" s="49">
        <f t="shared" si="63"/>
        <v>7108.5</v>
      </c>
      <c r="AG7" s="49">
        <f t="shared" si="10"/>
        <v>23695</v>
      </c>
      <c r="AH7" s="49">
        <f t="shared" si="11"/>
        <v>2369.5</v>
      </c>
      <c r="AI7" s="49">
        <f t="shared" si="12"/>
        <v>2487.9749999999999</v>
      </c>
      <c r="AJ7" s="49">
        <f t="shared" si="13"/>
        <v>426.51</v>
      </c>
      <c r="AK7" s="49">
        <f t="shared" si="14"/>
        <v>284.34000000000003</v>
      </c>
      <c r="AL7" s="49">
        <f t="shared" si="15"/>
        <v>682.41600000000005</v>
      </c>
      <c r="AM7" s="50">
        <f>IF((SUM(AA7:AE7)/2)=0,0,(((((SUM(AA7:AE7)/2)-(VLOOKUP((SUM(AA7:AE7)/2),'[1]Tablas ISR'!$A$4:$D$14,1,TRUE)))*(VLOOKUP((SUM(AA7:AE7)/2),'[1]Tablas ISR'!$A$4:$D$14,4,TRUE)))/100)+(VLOOKUP((SUM(AA7:AE7)/2),'[1]Tablas ISR'!$A$4:$D$14,3,TRUE)))*2)</f>
        <v>2163.0384480000002</v>
      </c>
      <c r="AN7" s="51">
        <f t="shared" si="16"/>
        <v>1634.9550000000002</v>
      </c>
      <c r="AO7" s="49">
        <f t="shared" si="17"/>
        <v>7108.5</v>
      </c>
      <c r="AP7" s="49">
        <f t="shared" si="18"/>
        <v>581.5</v>
      </c>
      <c r="AQ7" s="49">
        <f t="shared" si="19"/>
        <v>361</v>
      </c>
      <c r="AR7" s="49">
        <f t="shared" si="20"/>
        <v>0</v>
      </c>
      <c r="AS7" s="49">
        <f t="shared" si="21"/>
        <v>0</v>
      </c>
      <c r="AT7" s="49">
        <f t="shared" si="22"/>
        <v>1243.9875</v>
      </c>
      <c r="AU7" s="49">
        <f t="shared" si="23"/>
        <v>213.255</v>
      </c>
      <c r="AV7" s="49">
        <f t="shared" si="24"/>
        <v>341.20800000000003</v>
      </c>
      <c r="AW7" s="52">
        <f t="shared" si="25"/>
        <v>6152.0032760000004</v>
      </c>
      <c r="AX7" s="3">
        <f t="shared" si="26"/>
        <v>473.9</v>
      </c>
      <c r="AY7" s="3">
        <f t="shared" si="27"/>
        <v>38.766666666666666</v>
      </c>
      <c r="AZ7" s="3">
        <f t="shared" si="28"/>
        <v>24.066666666666666</v>
      </c>
      <c r="BA7" s="3">
        <f t="shared" si="29"/>
        <v>0</v>
      </c>
      <c r="BB7" s="3">
        <f t="shared" si="30"/>
        <v>0</v>
      </c>
      <c r="BC7" s="3">
        <f t="shared" si="31"/>
        <v>19.475342465753425</v>
      </c>
      <c r="BD7" s="3">
        <f t="shared" si="32"/>
        <v>64.917808219178085</v>
      </c>
      <c r="BE7" s="3">
        <f t="shared" si="33"/>
        <v>6.4917808219178079</v>
      </c>
      <c r="BF7" s="3">
        <f t="shared" si="34"/>
        <v>82.93249999999999</v>
      </c>
      <c r="BG7" s="3">
        <f t="shared" si="35"/>
        <v>14.217000000000001</v>
      </c>
      <c r="BH7" s="3">
        <f t="shared" si="36"/>
        <v>9.4780000000000015</v>
      </c>
      <c r="BI7" s="3">
        <f t="shared" si="37"/>
        <v>22.747200000000003</v>
      </c>
      <c r="BJ7" s="3">
        <f t="shared" si="38"/>
        <v>14217</v>
      </c>
      <c r="BK7" s="3">
        <f t="shared" si="39"/>
        <v>1163</v>
      </c>
      <c r="BL7" s="3">
        <f t="shared" si="40"/>
        <v>722</v>
      </c>
      <c r="BM7" s="3">
        <f t="shared" si="41"/>
        <v>0</v>
      </c>
      <c r="BN7" s="3">
        <f t="shared" si="42"/>
        <v>0</v>
      </c>
      <c r="BO7" s="3">
        <f t="shared" si="43"/>
        <v>592.375</v>
      </c>
      <c r="BP7" s="3">
        <f t="shared" si="44"/>
        <v>1974.5833333333333</v>
      </c>
      <c r="BQ7" s="3">
        <f t="shared" si="45"/>
        <v>197.45833333333334</v>
      </c>
      <c r="BR7" s="3">
        <f t="shared" si="46"/>
        <v>2487.9749999999999</v>
      </c>
      <c r="BS7" s="3">
        <f t="shared" si="47"/>
        <v>426.51</v>
      </c>
      <c r="BT7" s="3">
        <f t="shared" si="48"/>
        <v>284.34000000000003</v>
      </c>
      <c r="BU7" s="3">
        <f t="shared" si="49"/>
        <v>682.41600000000005</v>
      </c>
      <c r="BV7" s="53">
        <f t="shared" si="50"/>
        <v>170604</v>
      </c>
      <c r="BW7" s="53">
        <f t="shared" si="51"/>
        <v>13956</v>
      </c>
      <c r="BX7" s="53">
        <f t="shared" si="52"/>
        <v>8664</v>
      </c>
      <c r="BY7" s="53">
        <f t="shared" si="53"/>
        <v>0</v>
      </c>
      <c r="BZ7" s="53">
        <f t="shared" si="54"/>
        <v>0</v>
      </c>
      <c r="CA7" s="53">
        <f t="shared" si="55"/>
        <v>7108.5</v>
      </c>
      <c r="CB7" s="53">
        <f t="shared" si="56"/>
        <v>23695</v>
      </c>
      <c r="CC7" s="53">
        <f t="shared" si="57"/>
        <v>2369.5</v>
      </c>
      <c r="CD7" s="53">
        <f t="shared" si="58"/>
        <v>29855.699999999997</v>
      </c>
      <c r="CE7" s="53">
        <f t="shared" si="59"/>
        <v>5118.12</v>
      </c>
      <c r="CF7" s="53">
        <f t="shared" si="60"/>
        <v>3412.0800000000004</v>
      </c>
      <c r="CG7" s="53">
        <f t="shared" si="61"/>
        <v>8188.9920000000002</v>
      </c>
      <c r="CH7" s="54">
        <f t="shared" si="62"/>
        <v>272971.89200000005</v>
      </c>
      <c r="CI7" s="46"/>
      <c r="CJ7" s="46"/>
      <c r="CK7" s="46"/>
      <c r="CL7" s="46"/>
      <c r="CM7" s="46"/>
      <c r="CN7" s="46"/>
      <c r="CO7" s="46"/>
      <c r="CP7" s="46"/>
    </row>
    <row r="8" spans="1:94" ht="27" customHeight="1" x14ac:dyDescent="0.2">
      <c r="A8" s="8">
        <v>4</v>
      </c>
      <c r="B8" s="8">
        <v>982</v>
      </c>
      <c r="C8" s="43" t="s">
        <v>229</v>
      </c>
      <c r="D8" s="44" t="str">
        <f t="shared" si="0"/>
        <v>Sanchez</v>
      </c>
      <c r="E8" s="44" t="str">
        <f t="shared" si="1"/>
        <v xml:space="preserve">Martinez </v>
      </c>
      <c r="F8" s="44" t="str">
        <f t="shared" si="2"/>
        <v>Gerardo</v>
      </c>
      <c r="G8" s="8">
        <v>1</v>
      </c>
      <c r="H8" s="8" t="s">
        <v>228</v>
      </c>
      <c r="I8" s="45" t="s">
        <v>227</v>
      </c>
      <c r="J8" s="45" t="s">
        <v>226</v>
      </c>
      <c r="K8" s="46" t="s">
        <v>12</v>
      </c>
      <c r="L8" s="46" t="s">
        <v>5</v>
      </c>
      <c r="M8" s="46" t="s">
        <v>30</v>
      </c>
      <c r="N8" s="47" t="str">
        <f>IF(H8&gt;0,MID(H8,9,2)&amp;"/"&amp;MID(H8,7,2)&amp;"/"&amp;MID(H8,5,2),0)</f>
        <v>11/03/88</v>
      </c>
      <c r="O8" s="48">
        <f t="shared" ca="1" si="3"/>
        <v>29</v>
      </c>
      <c r="P8" s="1">
        <v>40391</v>
      </c>
      <c r="Q8" s="2" t="str">
        <f t="shared" si="4"/>
        <v>8 años, 4 meses, 30 dias.</v>
      </c>
      <c r="R8" s="2">
        <f t="shared" si="5"/>
        <v>8</v>
      </c>
      <c r="S8" s="2">
        <f t="shared" si="6"/>
        <v>100</v>
      </c>
      <c r="T8" s="2">
        <f t="shared" si="7"/>
        <v>3074</v>
      </c>
      <c r="U8" s="46" t="s">
        <v>3</v>
      </c>
      <c r="V8" s="46">
        <v>13</v>
      </c>
      <c r="W8" s="46" t="s">
        <v>1</v>
      </c>
      <c r="X8" s="46">
        <v>40</v>
      </c>
      <c r="Y8" s="46" t="s">
        <v>2</v>
      </c>
      <c r="Z8" s="46" t="s">
        <v>1</v>
      </c>
      <c r="AA8" s="49">
        <f>IF(C8="Plaza sin presupuesto",0,IF(W8="si",IF(X8=30,VLOOKUP(V8,'[1]Tablas despensa y pasaje 2018'!$A$3:$I$38,2,0),IF(PLANTILLA!X8=40,VLOOKUP(PLANTILLA!V8,'[1]Tablas despensa y pasaje 2018'!$A$3:$I$38,6,0))),IF(X8=30,VLOOKUP(V8,'[1]Tablas despensa y pasaje 2018'!$A$41:$I$48,2,0),IF(X8=40,VLOOKUP(V8,'[1]Tablas despensa y pasaje 2018'!$A$41:$I$48,6,0),0))))</f>
        <v>13714</v>
      </c>
      <c r="AB8" s="49">
        <f>IF(C8="Plaza sin presupuesto",0,IF(W8="si",IF(X8=30,VLOOKUP(V8,'[1]Tablas despensa y pasaje 2018'!$A$3:$I$38,3,0),IF(PLANTILLA!X8=40,VLOOKUP(PLANTILLA!V8,'[1]Tablas despensa y pasaje 2018'!$A$3:$I$38,7,0))),IF(X8=30,VLOOKUP(V8,'[1]Tablas despensa y pasaje 2018'!$A$41:$I$48,3,0),IF(X8=40,VLOOKUP(V8,'[1]Tablas despensa y pasaje 2018'!$A$41:$I$48,7,0),0))))</f>
        <v>1128</v>
      </c>
      <c r="AC8" s="49">
        <f>IF(C8="Plaza sin presupuesto",0,IF(W8="si",IF(X8=30,VLOOKUP(V8,'[1]Tablas despensa y pasaje 2018'!$A$3:$I$38,4,0),IF(PLANTILLA!X8=40,VLOOKUP(PLANTILLA!V8,'[1]Tablas despensa y pasaje 2018'!$A$3:$I$38,8,0))),IF(X8=30,VLOOKUP(V8,'[1]Tablas despensa y pasaje 2018'!$A$41:$I$48,4,0),IF(X8=40,VLOOKUP(V8,'[1]Tablas despensa y pasaje 2018'!$A$41:$I$48,8,0),0))))</f>
        <v>703</v>
      </c>
      <c r="AD8" s="49">
        <f t="shared" si="8"/>
        <v>411.41999999999996</v>
      </c>
      <c r="AE8" s="49">
        <f t="shared" si="9"/>
        <v>176.72</v>
      </c>
      <c r="AF8" s="49">
        <f t="shared" si="63"/>
        <v>8066.5700000000006</v>
      </c>
      <c r="AG8" s="49">
        <f t="shared" si="10"/>
        <v>22856.666666666668</v>
      </c>
      <c r="AH8" s="49">
        <f t="shared" si="11"/>
        <v>2285.6666666666665</v>
      </c>
      <c r="AI8" s="49">
        <f t="shared" si="12"/>
        <v>2399.9499999999998</v>
      </c>
      <c r="AJ8" s="49">
        <f t="shared" si="13"/>
        <v>411.41999999999996</v>
      </c>
      <c r="AK8" s="49">
        <f t="shared" si="14"/>
        <v>274.28000000000003</v>
      </c>
      <c r="AL8" s="49">
        <f t="shared" si="15"/>
        <v>658.27200000000005</v>
      </c>
      <c r="AM8" s="50">
        <f>IF((SUM(AA8:AE8)/2)=0,0,(((((SUM(AA8:AE8)/2)-(VLOOKUP((SUM(AA8:AE8)/2),'[1]Tablas ISR'!$A$4:$D$14,1,TRUE)))*(VLOOKUP((SUM(AA8:AE8)/2),'[1]Tablas ISR'!$A$4:$D$14,4,TRUE)))/100)+(VLOOKUP((SUM(AA8:AE8)/2),'[1]Tablas ISR'!$A$4:$D$14,3,TRUE)))*2)</f>
        <v>2169.6899519999997</v>
      </c>
      <c r="AN8" s="51">
        <f t="shared" si="16"/>
        <v>1577.1100000000001</v>
      </c>
      <c r="AO8" s="49">
        <f t="shared" si="17"/>
        <v>6857</v>
      </c>
      <c r="AP8" s="49">
        <f t="shared" si="18"/>
        <v>564</v>
      </c>
      <c r="AQ8" s="49">
        <f t="shared" si="19"/>
        <v>351.5</v>
      </c>
      <c r="AR8" s="49">
        <f t="shared" si="20"/>
        <v>205.70999999999998</v>
      </c>
      <c r="AS8" s="49">
        <f t="shared" si="21"/>
        <v>88.36</v>
      </c>
      <c r="AT8" s="49">
        <f t="shared" si="22"/>
        <v>1199.9749999999999</v>
      </c>
      <c r="AU8" s="49">
        <f t="shared" si="23"/>
        <v>205.70999999999998</v>
      </c>
      <c r="AV8" s="49">
        <f t="shared" si="24"/>
        <v>329.13600000000002</v>
      </c>
      <c r="AW8" s="52">
        <f t="shared" si="25"/>
        <v>6193.1700239999991</v>
      </c>
      <c r="AX8" s="3">
        <f t="shared" si="26"/>
        <v>457.13333333333333</v>
      </c>
      <c r="AY8" s="3">
        <f t="shared" si="27"/>
        <v>37.6</v>
      </c>
      <c r="AZ8" s="3">
        <f t="shared" si="28"/>
        <v>23.433333333333334</v>
      </c>
      <c r="BA8" s="3">
        <f t="shared" si="29"/>
        <v>13.713999999999999</v>
      </c>
      <c r="BB8" s="3">
        <f t="shared" si="30"/>
        <v>5.8906666666666663</v>
      </c>
      <c r="BC8" s="3">
        <f t="shared" si="31"/>
        <v>22.10019178082192</v>
      </c>
      <c r="BD8" s="3">
        <f t="shared" si="32"/>
        <v>62.621004566210047</v>
      </c>
      <c r="BE8" s="3">
        <f t="shared" si="33"/>
        <v>6.2621004566210043</v>
      </c>
      <c r="BF8" s="3">
        <f t="shared" si="34"/>
        <v>79.998333333333321</v>
      </c>
      <c r="BG8" s="3">
        <f t="shared" si="35"/>
        <v>13.713999999999999</v>
      </c>
      <c r="BH8" s="3">
        <f t="shared" si="36"/>
        <v>9.1426666666666669</v>
      </c>
      <c r="BI8" s="3">
        <f t="shared" si="37"/>
        <v>21.942400000000003</v>
      </c>
      <c r="BJ8" s="3">
        <f t="shared" si="38"/>
        <v>13714</v>
      </c>
      <c r="BK8" s="3">
        <f t="shared" si="39"/>
        <v>1128</v>
      </c>
      <c r="BL8" s="3">
        <f t="shared" si="40"/>
        <v>703</v>
      </c>
      <c r="BM8" s="3">
        <f t="shared" si="41"/>
        <v>411.41999999999996</v>
      </c>
      <c r="BN8" s="3">
        <f t="shared" si="42"/>
        <v>176.72</v>
      </c>
      <c r="BO8" s="3">
        <f t="shared" si="43"/>
        <v>672.21416666666676</v>
      </c>
      <c r="BP8" s="3">
        <f t="shared" si="44"/>
        <v>1904.7222222222224</v>
      </c>
      <c r="BQ8" s="3">
        <f t="shared" si="45"/>
        <v>190.4722222222222</v>
      </c>
      <c r="BR8" s="3">
        <f t="shared" si="46"/>
        <v>2399.9499999999998</v>
      </c>
      <c r="BS8" s="3">
        <f t="shared" si="47"/>
        <v>411.41999999999996</v>
      </c>
      <c r="BT8" s="3">
        <f t="shared" si="48"/>
        <v>274.28000000000003</v>
      </c>
      <c r="BU8" s="3">
        <f t="shared" si="49"/>
        <v>658.27200000000005</v>
      </c>
      <c r="BV8" s="53">
        <f t="shared" si="50"/>
        <v>164568</v>
      </c>
      <c r="BW8" s="53">
        <f t="shared" si="51"/>
        <v>13536</v>
      </c>
      <c r="BX8" s="53">
        <f t="shared" si="52"/>
        <v>8436</v>
      </c>
      <c r="BY8" s="53">
        <f t="shared" si="53"/>
        <v>4937.0399999999991</v>
      </c>
      <c r="BZ8" s="53">
        <f t="shared" si="54"/>
        <v>2120.64</v>
      </c>
      <c r="CA8" s="53">
        <f t="shared" si="55"/>
        <v>8066.5700000000006</v>
      </c>
      <c r="CB8" s="53">
        <f t="shared" si="56"/>
        <v>22856.666666666668</v>
      </c>
      <c r="CC8" s="53">
        <f t="shared" si="57"/>
        <v>2285.6666666666665</v>
      </c>
      <c r="CD8" s="53">
        <f t="shared" si="58"/>
        <v>28799.399999999998</v>
      </c>
      <c r="CE8" s="53">
        <f t="shared" si="59"/>
        <v>4937.0399999999991</v>
      </c>
      <c r="CF8" s="53">
        <f t="shared" si="60"/>
        <v>3291.3600000000006</v>
      </c>
      <c r="CG8" s="53">
        <f t="shared" si="61"/>
        <v>7899.264000000001</v>
      </c>
      <c r="CH8" s="54">
        <f t="shared" si="62"/>
        <v>271733.64733333339</v>
      </c>
      <c r="CI8" s="46"/>
      <c r="CJ8" s="46"/>
      <c r="CK8" s="46"/>
      <c r="CL8" s="46"/>
      <c r="CM8" s="46"/>
      <c r="CN8" s="46"/>
      <c r="CO8" s="46"/>
      <c r="CP8" s="46"/>
    </row>
    <row r="9" spans="1:94" ht="27" customHeight="1" x14ac:dyDescent="0.2">
      <c r="A9" s="8">
        <v>5</v>
      </c>
      <c r="B9" s="8">
        <v>220</v>
      </c>
      <c r="C9" s="43" t="s">
        <v>225</v>
      </c>
      <c r="D9" s="44" t="str">
        <f t="shared" si="0"/>
        <v>Niño</v>
      </c>
      <c r="E9" s="44" t="str">
        <f t="shared" si="1"/>
        <v xml:space="preserve">Diaz </v>
      </c>
      <c r="F9" s="44" t="str">
        <f t="shared" si="2"/>
        <v>Hector Daniel</v>
      </c>
      <c r="G9" s="8">
        <v>1</v>
      </c>
      <c r="H9" s="8" t="s">
        <v>224</v>
      </c>
      <c r="I9" s="45" t="s">
        <v>8</v>
      </c>
      <c r="J9" s="45" t="s">
        <v>202</v>
      </c>
      <c r="K9" s="46" t="s">
        <v>23</v>
      </c>
      <c r="L9" s="46" t="s">
        <v>5</v>
      </c>
      <c r="M9" s="46" t="s">
        <v>22</v>
      </c>
      <c r="N9" s="47" t="str">
        <f>IF(H9&gt;0,MID(H9,9,2)&amp;"/"&amp;MID(H9,7,2)&amp;"/"&amp;MID(H9,5,2),0)</f>
        <v>19/10/89</v>
      </c>
      <c r="O9" s="48">
        <f t="shared" ca="1" si="3"/>
        <v>28</v>
      </c>
      <c r="P9" s="1">
        <v>41890</v>
      </c>
      <c r="Q9" s="2" t="str">
        <f t="shared" si="4"/>
        <v>4 años, 3 meses, 23 dias.</v>
      </c>
      <c r="R9" s="2">
        <f t="shared" si="5"/>
        <v>4</v>
      </c>
      <c r="S9" s="2">
        <f t="shared" si="6"/>
        <v>51</v>
      </c>
      <c r="T9" s="2">
        <f t="shared" si="7"/>
        <v>1575</v>
      </c>
      <c r="U9" s="46" t="s">
        <v>3</v>
      </c>
      <c r="V9" s="46">
        <v>13</v>
      </c>
      <c r="W9" s="46" t="s">
        <v>1</v>
      </c>
      <c r="X9" s="46">
        <v>40</v>
      </c>
      <c r="Y9" s="46" t="s">
        <v>2</v>
      </c>
      <c r="Z9" s="46" t="s">
        <v>16</v>
      </c>
      <c r="AA9" s="49">
        <f>IF(C9="Plaza sin presupuesto",0,IF(W9="si",IF(X9=30,VLOOKUP(V9,'[1]Tablas despensa y pasaje 2018'!$A$3:$I$38,2,0),IF(PLANTILLA!X9=40,VLOOKUP(PLANTILLA!V9,'[1]Tablas despensa y pasaje 2018'!$A$3:$I$38,6,0))),IF(X9=30,VLOOKUP(V9,'[1]Tablas despensa y pasaje 2018'!$A$41:$I$48,2,0),IF(X9=40,VLOOKUP(V9,'[1]Tablas despensa y pasaje 2018'!$A$41:$I$48,6,0),0))))</f>
        <v>13714</v>
      </c>
      <c r="AB9" s="49">
        <f>IF(C9="Plaza sin presupuesto",0,IF(W9="si",IF(X9=30,VLOOKUP(V9,'[1]Tablas despensa y pasaje 2018'!$A$3:$I$38,3,0),IF(PLANTILLA!X9=40,VLOOKUP(PLANTILLA!V9,'[1]Tablas despensa y pasaje 2018'!$A$3:$I$38,7,0))),IF(X9=30,VLOOKUP(V9,'[1]Tablas despensa y pasaje 2018'!$A$41:$I$48,3,0),IF(X9=40,VLOOKUP(V9,'[1]Tablas despensa y pasaje 2018'!$A$41:$I$48,7,0),0))))</f>
        <v>1128</v>
      </c>
      <c r="AC9" s="49">
        <f>IF(C9="Plaza sin presupuesto",0,IF(W9="si",IF(X9=30,VLOOKUP(V9,'[1]Tablas despensa y pasaje 2018'!$A$3:$I$38,4,0),IF(PLANTILLA!X9=40,VLOOKUP(PLANTILLA!V9,'[1]Tablas despensa y pasaje 2018'!$A$3:$I$38,8,0))),IF(X9=30,VLOOKUP(V9,'[1]Tablas despensa y pasaje 2018'!$A$41:$I$48,4,0),IF(X9=40,VLOOKUP(V9,'[1]Tablas despensa y pasaje 2018'!$A$41:$I$48,8,0),0))))</f>
        <v>703</v>
      </c>
      <c r="AD9" s="49">
        <f t="shared" si="8"/>
        <v>0</v>
      </c>
      <c r="AE9" s="49">
        <f t="shared" si="9"/>
        <v>0</v>
      </c>
      <c r="AF9" s="49">
        <f t="shared" si="63"/>
        <v>6857</v>
      </c>
      <c r="AG9" s="49">
        <f t="shared" si="10"/>
        <v>22856.666666666668</v>
      </c>
      <c r="AH9" s="49">
        <f t="shared" si="11"/>
        <v>2285.6666666666665</v>
      </c>
      <c r="AI9" s="49">
        <f t="shared" si="12"/>
        <v>2399.9499999999998</v>
      </c>
      <c r="AJ9" s="49">
        <f t="shared" si="13"/>
        <v>411.41999999999996</v>
      </c>
      <c r="AK9" s="49">
        <f t="shared" si="14"/>
        <v>274.28000000000003</v>
      </c>
      <c r="AL9" s="49">
        <f t="shared" si="15"/>
        <v>658.27200000000005</v>
      </c>
      <c r="AM9" s="50">
        <f>IF((SUM(AA9:AE9)/2)=0,0,(((((SUM(AA9:AE9)/2)-(VLOOKUP((SUM(AA9:AE9)/2),'[1]Tablas ISR'!$A$4:$D$14,1,TRUE)))*(VLOOKUP((SUM(AA9:AE9)/2),'[1]Tablas ISR'!$A$4:$D$14,4,TRUE)))/100)+(VLOOKUP((SUM(AA9:AE9)/2),'[1]Tablas ISR'!$A$4:$D$14,3,TRUE)))*2)</f>
        <v>2044.0632479999999</v>
      </c>
      <c r="AN9" s="51">
        <f t="shared" si="16"/>
        <v>1577.1100000000001</v>
      </c>
      <c r="AO9" s="49">
        <f t="shared" si="17"/>
        <v>6857</v>
      </c>
      <c r="AP9" s="49">
        <f t="shared" si="18"/>
        <v>564</v>
      </c>
      <c r="AQ9" s="49">
        <f t="shared" si="19"/>
        <v>351.5</v>
      </c>
      <c r="AR9" s="49">
        <f t="shared" si="20"/>
        <v>0</v>
      </c>
      <c r="AS9" s="49">
        <f t="shared" si="21"/>
        <v>0</v>
      </c>
      <c r="AT9" s="49">
        <f t="shared" si="22"/>
        <v>1199.9749999999999</v>
      </c>
      <c r="AU9" s="49">
        <f t="shared" si="23"/>
        <v>205.70999999999998</v>
      </c>
      <c r="AV9" s="49">
        <f t="shared" si="24"/>
        <v>329.13600000000002</v>
      </c>
      <c r="AW9" s="52">
        <f t="shared" si="25"/>
        <v>5961.9133759999995</v>
      </c>
      <c r="AX9" s="3">
        <f t="shared" si="26"/>
        <v>457.13333333333333</v>
      </c>
      <c r="AY9" s="3">
        <f t="shared" si="27"/>
        <v>37.6</v>
      </c>
      <c r="AZ9" s="3">
        <f t="shared" si="28"/>
        <v>23.433333333333334</v>
      </c>
      <c r="BA9" s="3">
        <f t="shared" si="29"/>
        <v>0</v>
      </c>
      <c r="BB9" s="3">
        <f t="shared" si="30"/>
        <v>0</v>
      </c>
      <c r="BC9" s="3">
        <f t="shared" si="31"/>
        <v>18.786301369863015</v>
      </c>
      <c r="BD9" s="3">
        <f t="shared" si="32"/>
        <v>62.621004566210047</v>
      </c>
      <c r="BE9" s="3">
        <f t="shared" si="33"/>
        <v>6.2621004566210043</v>
      </c>
      <c r="BF9" s="3">
        <f t="shared" si="34"/>
        <v>79.998333333333321</v>
      </c>
      <c r="BG9" s="3">
        <f t="shared" si="35"/>
        <v>13.713999999999999</v>
      </c>
      <c r="BH9" s="3">
        <f t="shared" si="36"/>
        <v>9.1426666666666669</v>
      </c>
      <c r="BI9" s="3">
        <f t="shared" si="37"/>
        <v>21.942400000000003</v>
      </c>
      <c r="BJ9" s="3">
        <f t="shared" si="38"/>
        <v>13714</v>
      </c>
      <c r="BK9" s="3">
        <f t="shared" si="39"/>
        <v>1128</v>
      </c>
      <c r="BL9" s="3">
        <f t="shared" si="40"/>
        <v>703</v>
      </c>
      <c r="BM9" s="3">
        <f t="shared" si="41"/>
        <v>0</v>
      </c>
      <c r="BN9" s="3">
        <f t="shared" si="42"/>
        <v>0</v>
      </c>
      <c r="BO9" s="3">
        <f t="shared" si="43"/>
        <v>571.41666666666663</v>
      </c>
      <c r="BP9" s="3">
        <f t="shared" si="44"/>
        <v>1904.7222222222224</v>
      </c>
      <c r="BQ9" s="3">
        <f t="shared" si="45"/>
        <v>190.4722222222222</v>
      </c>
      <c r="BR9" s="3">
        <f t="shared" si="46"/>
        <v>2399.9499999999998</v>
      </c>
      <c r="BS9" s="3">
        <f t="shared" si="47"/>
        <v>411.41999999999996</v>
      </c>
      <c r="BT9" s="3">
        <f t="shared" si="48"/>
        <v>274.28000000000003</v>
      </c>
      <c r="BU9" s="3">
        <f t="shared" si="49"/>
        <v>658.27200000000005</v>
      </c>
      <c r="BV9" s="53">
        <f t="shared" si="50"/>
        <v>164568</v>
      </c>
      <c r="BW9" s="53">
        <f t="shared" si="51"/>
        <v>13536</v>
      </c>
      <c r="BX9" s="53">
        <f t="shared" si="52"/>
        <v>8436</v>
      </c>
      <c r="BY9" s="53">
        <f t="shared" si="53"/>
        <v>0</v>
      </c>
      <c r="BZ9" s="53">
        <f t="shared" si="54"/>
        <v>0</v>
      </c>
      <c r="CA9" s="53">
        <f t="shared" si="55"/>
        <v>6857</v>
      </c>
      <c r="CB9" s="53">
        <f t="shared" si="56"/>
        <v>22856.666666666668</v>
      </c>
      <c r="CC9" s="53">
        <f t="shared" si="57"/>
        <v>2285.6666666666665</v>
      </c>
      <c r="CD9" s="53">
        <f t="shared" si="58"/>
        <v>28799.399999999998</v>
      </c>
      <c r="CE9" s="53">
        <f t="shared" si="59"/>
        <v>4937.0399999999991</v>
      </c>
      <c r="CF9" s="53">
        <f t="shared" si="60"/>
        <v>3291.3600000000006</v>
      </c>
      <c r="CG9" s="53">
        <f t="shared" si="61"/>
        <v>7899.264000000001</v>
      </c>
      <c r="CH9" s="54">
        <f t="shared" si="62"/>
        <v>263466.39733333333</v>
      </c>
      <c r="CI9" s="46"/>
      <c r="CJ9" s="46"/>
      <c r="CK9" s="46"/>
      <c r="CL9" s="46"/>
      <c r="CM9" s="46"/>
      <c r="CN9" s="46"/>
      <c r="CO9" s="46"/>
      <c r="CP9" s="46"/>
    </row>
    <row r="10" spans="1:94" ht="27" customHeight="1" x14ac:dyDescent="0.2">
      <c r="A10" s="8">
        <v>6</v>
      </c>
      <c r="B10" s="8">
        <v>228</v>
      </c>
      <c r="C10" s="43" t="s">
        <v>223</v>
      </c>
      <c r="D10" s="44" t="str">
        <f t="shared" si="0"/>
        <v>Angélica</v>
      </c>
      <c r="E10" s="44" t="str">
        <f t="shared" si="1"/>
        <v xml:space="preserve">Edith </v>
      </c>
      <c r="F10" s="44" t="str">
        <f t="shared" si="2"/>
        <v>Ureño Díaz</v>
      </c>
      <c r="G10" s="8">
        <v>3</v>
      </c>
      <c r="H10" s="8" t="s">
        <v>222</v>
      </c>
      <c r="I10" s="45" t="s">
        <v>221</v>
      </c>
      <c r="J10" s="45" t="s">
        <v>202</v>
      </c>
      <c r="K10" s="46" t="s">
        <v>23</v>
      </c>
      <c r="L10" s="46" t="s">
        <v>17</v>
      </c>
      <c r="M10" s="46"/>
      <c r="N10" s="55" t="str">
        <f>IF(H10&gt;0,MID(H10,9,2)&amp;"/"&amp;MID(H10,7,2)&amp;"/"&amp;MID(H10,5,2),0)</f>
        <v>11/04/92</v>
      </c>
      <c r="O10" s="48">
        <f t="shared" ca="1" si="3"/>
        <v>25</v>
      </c>
      <c r="P10" s="1">
        <v>43040</v>
      </c>
      <c r="Q10" s="2" t="str">
        <f t="shared" si="4"/>
        <v>1 años, 1 meses, 30 dias.</v>
      </c>
      <c r="R10" s="2">
        <f t="shared" si="5"/>
        <v>1</v>
      </c>
      <c r="S10" s="2">
        <f t="shared" si="6"/>
        <v>13</v>
      </c>
      <c r="T10" s="2">
        <f t="shared" si="7"/>
        <v>425</v>
      </c>
      <c r="U10" s="46" t="s">
        <v>3</v>
      </c>
      <c r="V10" s="46">
        <v>14</v>
      </c>
      <c r="W10" s="46" t="s">
        <v>16</v>
      </c>
      <c r="X10" s="46">
        <v>40</v>
      </c>
      <c r="Y10" s="46" t="s">
        <v>2</v>
      </c>
      <c r="Z10" s="46" t="s">
        <v>16</v>
      </c>
      <c r="AA10" s="49">
        <f>IF(C10="Plaza sin presupuesto",0,IF(W10="si",IF(X10=30,VLOOKUP(V10,'[1]Tablas despensa y pasaje 2018'!$A$3:$I$38,2,0),IF(PLANTILLA!X10=40,VLOOKUP(PLANTILLA!V10,'[1]Tablas despensa y pasaje 2018'!$A$3:$I$38,6,0))),IF(X10=30,VLOOKUP(V10,'[1]Tablas despensa y pasaje 2018'!$A$41:$I$48,2,0),IF(X10=40,VLOOKUP(V10,'[1]Tablas despensa y pasaje 2018'!$A$41:$I$48,6,0),0))))</f>
        <v>14217</v>
      </c>
      <c r="AB10" s="49">
        <f>IF(C10="Plaza sin presupuesto",0,IF(W10="si",IF(X10=30,VLOOKUP(V10,'[1]Tablas despensa y pasaje 2018'!$A$3:$I$38,3,0),IF(PLANTILLA!X10=40,VLOOKUP(PLANTILLA!V10,'[1]Tablas despensa y pasaje 2018'!$A$3:$I$38,7,0))),IF(X10=30,VLOOKUP(V10,'[1]Tablas despensa y pasaje 2018'!$A$41:$I$48,3,0),IF(X10=40,VLOOKUP(V10,'[1]Tablas despensa y pasaje 2018'!$A$41:$I$48,7,0),0))))</f>
        <v>1163</v>
      </c>
      <c r="AC10" s="49">
        <f>IF(C10="Plaza sin presupuesto",0,IF(W10="si",IF(X10=30,VLOOKUP(V10,'[1]Tablas despensa y pasaje 2018'!$A$3:$I$38,4,0),IF(PLANTILLA!X10=40,VLOOKUP(PLANTILLA!V10,'[1]Tablas despensa y pasaje 2018'!$A$3:$I$38,8,0))),IF(X10=30,VLOOKUP(V10,'[1]Tablas despensa y pasaje 2018'!$A$41:$I$48,4,0),IF(X10=40,VLOOKUP(V10,'[1]Tablas despensa y pasaje 2018'!$A$41:$I$48,8,0),0))))</f>
        <v>722</v>
      </c>
      <c r="AD10" s="49">
        <f t="shared" si="8"/>
        <v>0</v>
      </c>
      <c r="AE10" s="49">
        <f t="shared" si="9"/>
        <v>0</v>
      </c>
      <c r="AF10" s="49">
        <f t="shared" si="63"/>
        <v>6465.8136986301361</v>
      </c>
      <c r="AG10" s="49">
        <f t="shared" si="10"/>
        <v>23695</v>
      </c>
      <c r="AH10" s="49">
        <f t="shared" si="11"/>
        <v>2369.5</v>
      </c>
      <c r="AI10" s="49">
        <f t="shared" si="12"/>
        <v>2487.9749999999999</v>
      </c>
      <c r="AJ10" s="49">
        <f t="shared" si="13"/>
        <v>426.51</v>
      </c>
      <c r="AK10" s="49">
        <f t="shared" si="14"/>
        <v>284.34000000000003</v>
      </c>
      <c r="AL10" s="49">
        <f t="shared" si="15"/>
        <v>682.41600000000005</v>
      </c>
      <c r="AM10" s="50">
        <f>IF((SUM(AA10:AE10)/2)=0,0,(((((SUM(AA10:AE10)/2)-(VLOOKUP((SUM(AA10:AE10)/2),'[1]Tablas ISR'!$A$4:$D$14,1,TRUE)))*(VLOOKUP((SUM(AA10:AE10)/2),'[1]Tablas ISR'!$A$4:$D$14,4,TRUE)))/100)+(VLOOKUP((SUM(AA10:AE10)/2),'[1]Tablas ISR'!$A$4:$D$14,3,TRUE)))*2)</f>
        <v>2163.0384480000002</v>
      </c>
      <c r="AN10" s="51">
        <f t="shared" si="16"/>
        <v>1634.9550000000002</v>
      </c>
      <c r="AO10" s="49">
        <f t="shared" si="17"/>
        <v>7108.5</v>
      </c>
      <c r="AP10" s="49">
        <f t="shared" si="18"/>
        <v>581.5</v>
      </c>
      <c r="AQ10" s="49">
        <f t="shared" si="19"/>
        <v>361</v>
      </c>
      <c r="AR10" s="49">
        <f t="shared" si="20"/>
        <v>0</v>
      </c>
      <c r="AS10" s="49">
        <f t="shared" si="21"/>
        <v>0</v>
      </c>
      <c r="AT10" s="49">
        <f t="shared" si="22"/>
        <v>1243.9875</v>
      </c>
      <c r="AU10" s="49">
        <f t="shared" si="23"/>
        <v>213.255</v>
      </c>
      <c r="AV10" s="49">
        <f t="shared" si="24"/>
        <v>341.20800000000003</v>
      </c>
      <c r="AW10" s="52">
        <f t="shared" si="25"/>
        <v>6152.0032760000004</v>
      </c>
      <c r="AX10" s="3">
        <f t="shared" si="26"/>
        <v>473.9</v>
      </c>
      <c r="AY10" s="3">
        <f t="shared" si="27"/>
        <v>38.766666666666666</v>
      </c>
      <c r="AZ10" s="3">
        <f t="shared" si="28"/>
        <v>24.066666666666666</v>
      </c>
      <c r="BA10" s="3">
        <f t="shared" si="29"/>
        <v>0</v>
      </c>
      <c r="BB10" s="3">
        <f t="shared" si="30"/>
        <v>0</v>
      </c>
      <c r="BC10" s="3">
        <f t="shared" si="31"/>
        <v>17.714558078438728</v>
      </c>
      <c r="BD10" s="3">
        <f t="shared" si="32"/>
        <v>64.917808219178085</v>
      </c>
      <c r="BE10" s="3">
        <f t="shared" si="33"/>
        <v>6.4917808219178079</v>
      </c>
      <c r="BF10" s="3">
        <f t="shared" si="34"/>
        <v>82.93249999999999</v>
      </c>
      <c r="BG10" s="3">
        <f t="shared" si="35"/>
        <v>14.217000000000001</v>
      </c>
      <c r="BH10" s="3">
        <f t="shared" si="36"/>
        <v>9.4780000000000015</v>
      </c>
      <c r="BI10" s="3">
        <f t="shared" si="37"/>
        <v>22.747200000000003</v>
      </c>
      <c r="BJ10" s="3">
        <f t="shared" si="38"/>
        <v>14217</v>
      </c>
      <c r="BK10" s="3">
        <f t="shared" si="39"/>
        <v>1163</v>
      </c>
      <c r="BL10" s="3">
        <f t="shared" si="40"/>
        <v>722</v>
      </c>
      <c r="BM10" s="3">
        <f t="shared" si="41"/>
        <v>0</v>
      </c>
      <c r="BN10" s="3">
        <f t="shared" si="42"/>
        <v>0</v>
      </c>
      <c r="BO10" s="3">
        <f t="shared" si="43"/>
        <v>538.817808219178</v>
      </c>
      <c r="BP10" s="3">
        <f t="shared" si="44"/>
        <v>1974.5833333333333</v>
      </c>
      <c r="BQ10" s="3">
        <f t="shared" si="45"/>
        <v>197.45833333333334</v>
      </c>
      <c r="BR10" s="3">
        <f t="shared" si="46"/>
        <v>2487.9749999999999</v>
      </c>
      <c r="BS10" s="3">
        <f t="shared" si="47"/>
        <v>426.51</v>
      </c>
      <c r="BT10" s="3">
        <f t="shared" si="48"/>
        <v>284.34000000000003</v>
      </c>
      <c r="BU10" s="3">
        <f t="shared" si="49"/>
        <v>682.41600000000005</v>
      </c>
      <c r="BV10" s="53">
        <f t="shared" si="50"/>
        <v>170604</v>
      </c>
      <c r="BW10" s="53">
        <f t="shared" si="51"/>
        <v>13956</v>
      </c>
      <c r="BX10" s="53">
        <f t="shared" si="52"/>
        <v>8664</v>
      </c>
      <c r="BY10" s="53">
        <f t="shared" si="53"/>
        <v>0</v>
      </c>
      <c r="BZ10" s="53">
        <f t="shared" si="54"/>
        <v>0</v>
      </c>
      <c r="CA10" s="53">
        <f t="shared" si="55"/>
        <v>6465.8136986301361</v>
      </c>
      <c r="CB10" s="53">
        <f t="shared" si="56"/>
        <v>23695</v>
      </c>
      <c r="CC10" s="53">
        <f t="shared" si="57"/>
        <v>2369.5</v>
      </c>
      <c r="CD10" s="53">
        <f t="shared" si="58"/>
        <v>29855.699999999997</v>
      </c>
      <c r="CE10" s="53">
        <f t="shared" si="59"/>
        <v>5118.12</v>
      </c>
      <c r="CF10" s="53">
        <f t="shared" si="60"/>
        <v>3412.0800000000004</v>
      </c>
      <c r="CG10" s="53">
        <f t="shared" si="61"/>
        <v>8188.9920000000002</v>
      </c>
      <c r="CH10" s="54">
        <f t="shared" si="62"/>
        <v>272329.20569863019</v>
      </c>
      <c r="CI10" s="46"/>
      <c r="CJ10" s="46"/>
      <c r="CK10" s="46"/>
      <c r="CL10" s="46"/>
      <c r="CM10" s="46"/>
      <c r="CN10" s="46"/>
      <c r="CO10" s="46"/>
      <c r="CP10" s="46"/>
    </row>
    <row r="11" spans="1:94" ht="27" customHeight="1" x14ac:dyDescent="0.2">
      <c r="A11" s="8">
        <v>7</v>
      </c>
      <c r="B11" s="8">
        <v>232</v>
      </c>
      <c r="C11" s="43" t="s">
        <v>220</v>
      </c>
      <c r="D11" s="44" t="str">
        <f t="shared" si="0"/>
        <v>Garcia</v>
      </c>
      <c r="E11" s="44" t="str">
        <f t="shared" si="1"/>
        <v xml:space="preserve">Romero </v>
      </c>
      <c r="F11" s="44" t="str">
        <f t="shared" si="2"/>
        <v>Nestor Eduardo</v>
      </c>
      <c r="G11" s="8">
        <v>2</v>
      </c>
      <c r="H11" s="8" t="s">
        <v>219</v>
      </c>
      <c r="I11" s="45" t="s">
        <v>34</v>
      </c>
      <c r="J11" s="45" t="s">
        <v>202</v>
      </c>
      <c r="K11" s="46" t="s">
        <v>12</v>
      </c>
      <c r="L11" s="46" t="s">
        <v>5</v>
      </c>
      <c r="M11" s="46" t="s">
        <v>30</v>
      </c>
      <c r="N11" s="47" t="str">
        <f>IF(H11&gt;0,MID(H11,9,2)&amp;"/"&amp;MID(H11,7,2)&amp;"/"&amp;MID(H11,5,2),0)</f>
        <v>26/08/78</v>
      </c>
      <c r="O11" s="48">
        <f t="shared" ca="1" si="3"/>
        <v>39</v>
      </c>
      <c r="P11" s="1">
        <v>41365</v>
      </c>
      <c r="Q11" s="2" t="str">
        <f t="shared" si="4"/>
        <v>5 años, 8 meses, 30 dias.</v>
      </c>
      <c r="R11" s="2">
        <f t="shared" si="5"/>
        <v>5</v>
      </c>
      <c r="S11" s="2">
        <f t="shared" si="6"/>
        <v>68</v>
      </c>
      <c r="T11" s="2">
        <f t="shared" si="7"/>
        <v>2100</v>
      </c>
      <c r="U11" s="46" t="s">
        <v>3</v>
      </c>
      <c r="V11" s="46">
        <v>24</v>
      </c>
      <c r="W11" s="46" t="s">
        <v>16</v>
      </c>
      <c r="X11" s="46">
        <v>40</v>
      </c>
      <c r="Y11" s="46" t="s">
        <v>15</v>
      </c>
      <c r="Z11" s="46" t="s">
        <v>1</v>
      </c>
      <c r="AA11" s="49">
        <f>IF(C11="Plaza sin presupuesto",0,IF(W11="si",IF(X11=30,VLOOKUP(V11,'[1]Tablas despensa y pasaje 2018'!$A$3:$I$38,2,0),IF(PLANTILLA!X11=40,VLOOKUP(PLANTILLA!V11,'[1]Tablas despensa y pasaje 2018'!$A$3:$I$38,6,0))),IF(X11=30,VLOOKUP(V11,'[1]Tablas despensa y pasaje 2018'!$A$41:$I$48,2,0),IF(X11=40,VLOOKUP(V11,'[1]Tablas despensa y pasaje 2018'!$A$41:$I$48,6,0),0))))</f>
        <v>42280</v>
      </c>
      <c r="AB11" s="49">
        <f>IF(C11="Plaza sin presupuesto",0,IF(W11="si",IF(X11=30,VLOOKUP(V11,'[1]Tablas despensa y pasaje 2018'!$A$3:$I$38,3,0),IF(PLANTILLA!X11=40,VLOOKUP(PLANTILLA!V11,'[1]Tablas despensa y pasaje 2018'!$A$3:$I$38,7,0))),IF(X11=30,VLOOKUP(V11,'[1]Tablas despensa y pasaje 2018'!$A$41:$I$48,3,0),IF(X11=40,VLOOKUP(V11,'[1]Tablas despensa y pasaje 2018'!$A$41:$I$48,7,0),0))))</f>
        <v>1865</v>
      </c>
      <c r="AC11" s="49">
        <f>IF(C11="Plaza sin presupuesto",0,IF(W11="si",IF(X11=30,VLOOKUP(V11,'[1]Tablas despensa y pasaje 2018'!$A$3:$I$38,4,0),IF(PLANTILLA!X11=40,VLOOKUP(PLANTILLA!V11,'[1]Tablas despensa y pasaje 2018'!$A$3:$I$38,8,0))),IF(X11=30,VLOOKUP(V11,'[1]Tablas despensa y pasaje 2018'!$A$41:$I$48,4,0),IF(X11=40,VLOOKUP(V11,'[1]Tablas despensa y pasaje 2018'!$A$41:$I$48,8,0),0))))</f>
        <v>1345</v>
      </c>
      <c r="AD11" s="49">
        <f t="shared" si="8"/>
        <v>0</v>
      </c>
      <c r="AE11" s="49">
        <f t="shared" si="9"/>
        <v>176.72</v>
      </c>
      <c r="AF11" s="49">
        <f t="shared" si="63"/>
        <v>21140</v>
      </c>
      <c r="AG11" s="49">
        <f t="shared" si="10"/>
        <v>70466.666666666657</v>
      </c>
      <c r="AH11" s="49">
        <f t="shared" si="11"/>
        <v>7046.6666666666661</v>
      </c>
      <c r="AI11" s="49">
        <f t="shared" si="12"/>
        <v>7398.9999999999991</v>
      </c>
      <c r="AJ11" s="49">
        <f t="shared" si="13"/>
        <v>1268.3999999999999</v>
      </c>
      <c r="AK11" s="49">
        <f t="shared" si="14"/>
        <v>845.6</v>
      </c>
      <c r="AL11" s="49">
        <f t="shared" si="15"/>
        <v>2029.44</v>
      </c>
      <c r="AM11" s="50">
        <f>IF((SUM(AA11:AE11)/2)=0,0,(((((SUM(AA11:AE11)/2)-(VLOOKUP((SUM(AA11:AE11)/2),'[1]Tablas ISR'!$A$4:$D$14,1,TRUE)))*(VLOOKUP((SUM(AA11:AE11)/2),'[1]Tablas ISR'!$A$4:$D$14,4,TRUE)))/100)+(VLOOKUP((SUM(AA11:AE11)/2),'[1]Tablas ISR'!$A$4:$D$14,3,TRUE)))*2)</f>
        <v>9465.9600000000009</v>
      </c>
      <c r="AN11" s="51">
        <f t="shared" si="16"/>
        <v>4862.2</v>
      </c>
      <c r="AO11" s="49">
        <f t="shared" si="17"/>
        <v>21140</v>
      </c>
      <c r="AP11" s="49">
        <f t="shared" si="18"/>
        <v>932.5</v>
      </c>
      <c r="AQ11" s="49">
        <f t="shared" si="19"/>
        <v>672.5</v>
      </c>
      <c r="AR11" s="49">
        <f t="shared" si="20"/>
        <v>0</v>
      </c>
      <c r="AS11" s="49">
        <f t="shared" si="21"/>
        <v>88.36</v>
      </c>
      <c r="AT11" s="49">
        <f t="shared" si="22"/>
        <v>3699.4999999999995</v>
      </c>
      <c r="AU11" s="49">
        <f t="shared" si="23"/>
        <v>634.19999999999993</v>
      </c>
      <c r="AV11" s="49">
        <f t="shared" si="24"/>
        <v>1014.72</v>
      </c>
      <c r="AW11" s="52">
        <f t="shared" si="25"/>
        <v>15669.28</v>
      </c>
      <c r="AX11" s="3">
        <f t="shared" si="26"/>
        <v>1409.3333333333333</v>
      </c>
      <c r="AY11" s="3">
        <f t="shared" si="27"/>
        <v>62.166666666666664</v>
      </c>
      <c r="AZ11" s="3">
        <f t="shared" si="28"/>
        <v>44.833333333333336</v>
      </c>
      <c r="BA11" s="3">
        <f t="shared" si="29"/>
        <v>0</v>
      </c>
      <c r="BB11" s="3">
        <f t="shared" si="30"/>
        <v>5.8906666666666663</v>
      </c>
      <c r="BC11" s="3">
        <f t="shared" si="31"/>
        <v>57.917808219178085</v>
      </c>
      <c r="BD11" s="3">
        <f t="shared" si="32"/>
        <v>193.05936073059357</v>
      </c>
      <c r="BE11" s="3">
        <f t="shared" si="33"/>
        <v>19.30593607305936</v>
      </c>
      <c r="BF11" s="3">
        <f t="shared" si="34"/>
        <v>246.6333333333333</v>
      </c>
      <c r="BG11" s="3">
        <f t="shared" si="35"/>
        <v>42.279999999999994</v>
      </c>
      <c r="BH11" s="3">
        <f t="shared" si="36"/>
        <v>28.186666666666667</v>
      </c>
      <c r="BI11" s="3">
        <f t="shared" si="37"/>
        <v>67.647999999999996</v>
      </c>
      <c r="BJ11" s="3">
        <f t="shared" si="38"/>
        <v>42280</v>
      </c>
      <c r="BK11" s="3">
        <f t="shared" si="39"/>
        <v>1865</v>
      </c>
      <c r="BL11" s="3">
        <f t="shared" si="40"/>
        <v>1345</v>
      </c>
      <c r="BM11" s="3">
        <f t="shared" si="41"/>
        <v>0</v>
      </c>
      <c r="BN11" s="3">
        <f t="shared" si="42"/>
        <v>176.72</v>
      </c>
      <c r="BO11" s="3">
        <f t="shared" si="43"/>
        <v>1761.6666666666667</v>
      </c>
      <c r="BP11" s="3">
        <f t="shared" si="44"/>
        <v>5872.2222222222217</v>
      </c>
      <c r="BQ11" s="3">
        <f t="shared" si="45"/>
        <v>587.22222222222217</v>
      </c>
      <c r="BR11" s="3">
        <f t="shared" si="46"/>
        <v>7398.9999999999991</v>
      </c>
      <c r="BS11" s="3">
        <f t="shared" si="47"/>
        <v>1268.3999999999999</v>
      </c>
      <c r="BT11" s="3">
        <f t="shared" si="48"/>
        <v>845.6</v>
      </c>
      <c r="BU11" s="3">
        <f t="shared" si="49"/>
        <v>2029.4399999999998</v>
      </c>
      <c r="BV11" s="53">
        <f t="shared" si="50"/>
        <v>507360</v>
      </c>
      <c r="BW11" s="53">
        <f t="shared" si="51"/>
        <v>22380</v>
      </c>
      <c r="BX11" s="53">
        <f t="shared" si="52"/>
        <v>16140</v>
      </c>
      <c r="BY11" s="53">
        <f t="shared" si="53"/>
        <v>0</v>
      </c>
      <c r="BZ11" s="53">
        <f t="shared" si="54"/>
        <v>2120.64</v>
      </c>
      <c r="CA11" s="53">
        <f t="shared" si="55"/>
        <v>21140</v>
      </c>
      <c r="CB11" s="53">
        <f t="shared" si="56"/>
        <v>70466.666666666657</v>
      </c>
      <c r="CC11" s="53">
        <f t="shared" si="57"/>
        <v>7046.6666666666661</v>
      </c>
      <c r="CD11" s="53">
        <f t="shared" si="58"/>
        <v>88787.999999999985</v>
      </c>
      <c r="CE11" s="53">
        <f t="shared" si="59"/>
        <v>15220.8</v>
      </c>
      <c r="CF11" s="53">
        <f t="shared" si="60"/>
        <v>10147.200000000001</v>
      </c>
      <c r="CG11" s="53">
        <f t="shared" si="61"/>
        <v>24353.279999999999</v>
      </c>
      <c r="CH11" s="54">
        <f t="shared" si="62"/>
        <v>785163.2533333333</v>
      </c>
      <c r="CI11" s="46"/>
      <c r="CJ11" s="46"/>
      <c r="CK11" s="46"/>
      <c r="CL11" s="46"/>
      <c r="CM11" s="46"/>
      <c r="CN11" s="46"/>
      <c r="CO11" s="46"/>
      <c r="CP11" s="46"/>
    </row>
    <row r="12" spans="1:94" ht="27" customHeight="1" x14ac:dyDescent="0.2">
      <c r="A12" s="8">
        <v>8</v>
      </c>
      <c r="B12" s="8">
        <v>233</v>
      </c>
      <c r="C12" s="43" t="s">
        <v>218</v>
      </c>
      <c r="D12" s="44" t="str">
        <f t="shared" si="0"/>
        <v>Garibaldi</v>
      </c>
      <c r="E12" s="44" t="str">
        <f t="shared" si="1"/>
        <v xml:space="preserve">Castillo </v>
      </c>
      <c r="F12" s="44" t="str">
        <f t="shared" si="2"/>
        <v>Carlos Eduardo</v>
      </c>
      <c r="G12" s="8">
        <v>3</v>
      </c>
      <c r="H12" s="8" t="s">
        <v>217</v>
      </c>
      <c r="I12" s="45" t="s">
        <v>107</v>
      </c>
      <c r="J12" s="45" t="s">
        <v>202</v>
      </c>
      <c r="K12" s="46" t="s">
        <v>12</v>
      </c>
      <c r="L12" s="46" t="s">
        <v>5</v>
      </c>
      <c r="M12" s="46" t="s">
        <v>11</v>
      </c>
      <c r="N12" s="47" t="str">
        <f>IF(H12&gt;0,MID(H12,9,2)&amp;"/"&amp;MID(H12,7,2)&amp;"/"&amp;MID(H12,5,2),0)</f>
        <v>30/04/78</v>
      </c>
      <c r="O12" s="48">
        <f t="shared" ca="1" si="3"/>
        <v>39</v>
      </c>
      <c r="P12" s="1">
        <v>41556</v>
      </c>
      <c r="Q12" s="2" t="str">
        <f t="shared" si="4"/>
        <v>5 años, 2 meses, 22 dias.</v>
      </c>
      <c r="R12" s="2">
        <f t="shared" si="5"/>
        <v>5</v>
      </c>
      <c r="S12" s="2">
        <f t="shared" si="6"/>
        <v>62</v>
      </c>
      <c r="T12" s="2">
        <f t="shared" si="7"/>
        <v>1909</v>
      </c>
      <c r="U12" s="46" t="s">
        <v>90</v>
      </c>
      <c r="V12" s="46">
        <v>17</v>
      </c>
      <c r="W12" s="46" t="s">
        <v>1</v>
      </c>
      <c r="X12" s="46">
        <v>40</v>
      </c>
      <c r="Y12" s="46" t="s">
        <v>15</v>
      </c>
      <c r="Z12" s="46" t="s">
        <v>1</v>
      </c>
      <c r="AA12" s="49">
        <f>IF(C12="Plaza sin presupuesto",0,IF(W12="si",IF(X12=30,VLOOKUP(V12,'[1]Tablas despensa y pasaje 2018'!$A$3:$I$38,2,0),IF(PLANTILLA!X12=40,VLOOKUP(PLANTILLA!V12,'[1]Tablas despensa y pasaje 2018'!$A$3:$I$38,6,0))),IF(X12=30,VLOOKUP(V12,'[1]Tablas despensa y pasaje 2018'!$A$41:$I$48,2,0),IF(X12=40,VLOOKUP(V12,'[1]Tablas despensa y pasaje 2018'!$A$41:$I$48,6,0),0))))</f>
        <v>19032</v>
      </c>
      <c r="AB12" s="49">
        <f>IF(C12="Plaza sin presupuesto",0,IF(W12="si",IF(X12=30,VLOOKUP(V12,'[1]Tablas despensa y pasaje 2018'!$A$3:$I$38,3,0),IF(PLANTILLA!X12=40,VLOOKUP(PLANTILLA!V12,'[1]Tablas despensa y pasaje 2018'!$A$3:$I$38,7,0))),IF(X12=30,VLOOKUP(V12,'[1]Tablas despensa y pasaje 2018'!$A$41:$I$48,3,0),IF(X12=40,VLOOKUP(V12,'[1]Tablas despensa y pasaje 2018'!$A$41:$I$48,7,0),0))))</f>
        <v>1286</v>
      </c>
      <c r="AC12" s="49">
        <f>IF(C12="Plaza sin presupuesto",0,IF(W12="si",IF(X12=30,VLOOKUP(V12,'[1]Tablas despensa y pasaje 2018'!$A$3:$I$38,4,0),IF(PLANTILLA!X12=40,VLOOKUP(PLANTILLA!V12,'[1]Tablas despensa y pasaje 2018'!$A$3:$I$38,8,0))),IF(X12=30,VLOOKUP(V12,'[1]Tablas despensa y pasaje 2018'!$A$41:$I$48,4,0),IF(X12=40,VLOOKUP(V12,'[1]Tablas despensa y pasaje 2018'!$A$41:$I$48,8,0),0))))</f>
        <v>857</v>
      </c>
      <c r="AD12" s="49">
        <f t="shared" si="8"/>
        <v>0</v>
      </c>
      <c r="AE12" s="49">
        <f t="shared" si="9"/>
        <v>176.72</v>
      </c>
      <c r="AF12" s="49">
        <f t="shared" si="63"/>
        <v>9516</v>
      </c>
      <c r="AG12" s="49">
        <f t="shared" si="10"/>
        <v>31720</v>
      </c>
      <c r="AH12" s="49">
        <f t="shared" si="11"/>
        <v>3172</v>
      </c>
      <c r="AI12" s="49">
        <f t="shared" si="12"/>
        <v>3330.6</v>
      </c>
      <c r="AJ12" s="49">
        <f t="shared" si="13"/>
        <v>570.95999999999992</v>
      </c>
      <c r="AK12" s="49">
        <f t="shared" si="14"/>
        <v>380.64</v>
      </c>
      <c r="AL12" s="49">
        <f t="shared" si="15"/>
        <v>913.53600000000006</v>
      </c>
      <c r="AM12" s="50">
        <f>IF((SUM(AA12:AE12)/2)=0,0,(((((SUM(AA12:AE12)/2)-(VLOOKUP((SUM(AA12:AE12)/2),'[1]Tablas ISR'!$A$4:$D$14,1,TRUE)))*(VLOOKUP((SUM(AA12:AE12)/2),'[1]Tablas ISR'!$A$4:$D$14,4,TRUE)))/100)+(VLOOKUP((SUM(AA12:AE12)/2),'[1]Tablas ISR'!$A$4:$D$14,3,TRUE)))*2)</f>
        <v>3284.3786400000004</v>
      </c>
      <c r="AN12" s="51">
        <f t="shared" si="16"/>
        <v>2188.6800000000003</v>
      </c>
      <c r="AO12" s="49">
        <f t="shared" si="17"/>
        <v>9516</v>
      </c>
      <c r="AP12" s="49">
        <f t="shared" si="18"/>
        <v>643</v>
      </c>
      <c r="AQ12" s="49">
        <f t="shared" si="19"/>
        <v>428.5</v>
      </c>
      <c r="AR12" s="49">
        <f t="shared" si="20"/>
        <v>0</v>
      </c>
      <c r="AS12" s="49">
        <f t="shared" si="21"/>
        <v>88.36</v>
      </c>
      <c r="AT12" s="49">
        <f t="shared" si="22"/>
        <v>1665.3</v>
      </c>
      <c r="AU12" s="49">
        <f t="shared" si="23"/>
        <v>285.47999999999996</v>
      </c>
      <c r="AV12" s="49">
        <f t="shared" si="24"/>
        <v>456.76800000000003</v>
      </c>
      <c r="AW12" s="52">
        <f t="shared" si="25"/>
        <v>7939.3306800000009</v>
      </c>
      <c r="AX12" s="3">
        <f t="shared" si="26"/>
        <v>634.4</v>
      </c>
      <c r="AY12" s="3">
        <f t="shared" si="27"/>
        <v>42.866666666666667</v>
      </c>
      <c r="AZ12" s="3">
        <f t="shared" si="28"/>
        <v>28.566666666666666</v>
      </c>
      <c r="BA12" s="3">
        <f t="shared" si="29"/>
        <v>0</v>
      </c>
      <c r="BB12" s="3">
        <f t="shared" si="30"/>
        <v>5.8906666666666663</v>
      </c>
      <c r="BC12" s="3">
        <f t="shared" si="31"/>
        <v>26.07123287671233</v>
      </c>
      <c r="BD12" s="3">
        <f t="shared" si="32"/>
        <v>86.904109589041099</v>
      </c>
      <c r="BE12" s="3">
        <f t="shared" si="33"/>
        <v>8.6904109589041099</v>
      </c>
      <c r="BF12" s="3">
        <f t="shared" si="34"/>
        <v>111.02</v>
      </c>
      <c r="BG12" s="3">
        <f t="shared" si="35"/>
        <v>19.031999999999996</v>
      </c>
      <c r="BH12" s="3">
        <f t="shared" si="36"/>
        <v>12.687999999999999</v>
      </c>
      <c r="BI12" s="3">
        <f t="shared" si="37"/>
        <v>30.451200000000004</v>
      </c>
      <c r="BJ12" s="3">
        <f t="shared" si="38"/>
        <v>19032</v>
      </c>
      <c r="BK12" s="3">
        <f t="shared" si="39"/>
        <v>1286</v>
      </c>
      <c r="BL12" s="3">
        <f t="shared" si="40"/>
        <v>857</v>
      </c>
      <c r="BM12" s="3">
        <f t="shared" si="41"/>
        <v>0</v>
      </c>
      <c r="BN12" s="3">
        <f t="shared" si="42"/>
        <v>176.72</v>
      </c>
      <c r="BO12" s="3">
        <f t="shared" si="43"/>
        <v>793</v>
      </c>
      <c r="BP12" s="3">
        <f t="shared" si="44"/>
        <v>2643.3333333333335</v>
      </c>
      <c r="BQ12" s="3">
        <f t="shared" si="45"/>
        <v>264.33333333333331</v>
      </c>
      <c r="BR12" s="3">
        <f t="shared" si="46"/>
        <v>3330.6</v>
      </c>
      <c r="BS12" s="3">
        <f t="shared" si="47"/>
        <v>570.95999999999992</v>
      </c>
      <c r="BT12" s="3">
        <f t="shared" si="48"/>
        <v>380.64</v>
      </c>
      <c r="BU12" s="3">
        <f t="shared" si="49"/>
        <v>913.53600000000006</v>
      </c>
      <c r="BV12" s="53">
        <f t="shared" si="50"/>
        <v>228384</v>
      </c>
      <c r="BW12" s="53">
        <f t="shared" si="51"/>
        <v>15432</v>
      </c>
      <c r="BX12" s="53">
        <f t="shared" si="52"/>
        <v>10284</v>
      </c>
      <c r="BY12" s="53">
        <f t="shared" si="53"/>
        <v>0</v>
      </c>
      <c r="BZ12" s="53">
        <f t="shared" si="54"/>
        <v>2120.64</v>
      </c>
      <c r="CA12" s="53">
        <f t="shared" si="55"/>
        <v>9516</v>
      </c>
      <c r="CB12" s="53">
        <f t="shared" si="56"/>
        <v>31720</v>
      </c>
      <c r="CC12" s="53">
        <f t="shared" si="57"/>
        <v>3172</v>
      </c>
      <c r="CD12" s="53">
        <f t="shared" si="58"/>
        <v>39967.199999999997</v>
      </c>
      <c r="CE12" s="53">
        <f t="shared" si="59"/>
        <v>6851.5199999999986</v>
      </c>
      <c r="CF12" s="53">
        <f t="shared" si="60"/>
        <v>4567.68</v>
      </c>
      <c r="CG12" s="53">
        <f t="shared" si="61"/>
        <v>10962.432000000001</v>
      </c>
      <c r="CH12" s="54">
        <f t="shared" si="62"/>
        <v>362977.47200000007</v>
      </c>
      <c r="CI12" s="46"/>
      <c r="CJ12" s="46"/>
      <c r="CK12" s="46"/>
      <c r="CL12" s="46"/>
      <c r="CM12" s="46"/>
      <c r="CN12" s="46"/>
      <c r="CO12" s="46"/>
      <c r="CP12" s="46"/>
    </row>
    <row r="13" spans="1:94" ht="27" customHeight="1" x14ac:dyDescent="0.2">
      <c r="A13" s="8">
        <v>9</v>
      </c>
      <c r="B13" s="8">
        <v>234</v>
      </c>
      <c r="C13" s="43" t="s">
        <v>216</v>
      </c>
      <c r="D13" s="44" t="str">
        <f t="shared" si="0"/>
        <v>Bringas</v>
      </c>
      <c r="E13" s="44" t="str">
        <f t="shared" si="1"/>
        <v xml:space="preserve">Valenzuela </v>
      </c>
      <c r="F13" s="44" t="str">
        <f t="shared" si="2"/>
        <v>Maria Fernanda</v>
      </c>
      <c r="G13" s="8">
        <v>1</v>
      </c>
      <c r="H13" s="8" t="s">
        <v>215</v>
      </c>
      <c r="I13" s="45" t="s">
        <v>214</v>
      </c>
      <c r="J13" s="45" t="s">
        <v>202</v>
      </c>
      <c r="K13" s="46" t="s">
        <v>6</v>
      </c>
      <c r="L13" s="46" t="s">
        <v>17</v>
      </c>
      <c r="M13" s="46" t="s">
        <v>22</v>
      </c>
      <c r="N13" s="47" t="str">
        <f>IF(H13&gt;0,MID(H13,9,2)&amp;"/"&amp;MID(H13,7,2)&amp;"/"&amp;MID(H13,5,2),0)</f>
        <v>28/01/89</v>
      </c>
      <c r="O13" s="48">
        <f t="shared" ca="1" si="3"/>
        <v>28</v>
      </c>
      <c r="P13" s="1">
        <v>40431</v>
      </c>
      <c r="Q13" s="2" t="str">
        <f t="shared" si="4"/>
        <v>8 años, 3 meses, 21 dias.</v>
      </c>
      <c r="R13" s="2">
        <f t="shared" si="5"/>
        <v>8</v>
      </c>
      <c r="S13" s="2">
        <f t="shared" si="6"/>
        <v>99</v>
      </c>
      <c r="T13" s="2">
        <f t="shared" si="7"/>
        <v>3034</v>
      </c>
      <c r="U13" s="46" t="s">
        <v>3</v>
      </c>
      <c r="V13" s="46">
        <v>18</v>
      </c>
      <c r="W13" s="46" t="s">
        <v>16</v>
      </c>
      <c r="X13" s="46">
        <v>40</v>
      </c>
      <c r="Y13" s="46" t="s">
        <v>15</v>
      </c>
      <c r="Z13" s="46" t="s">
        <v>1</v>
      </c>
      <c r="AA13" s="49">
        <f>IF(C13="Plaza sin presupuesto",0,IF(W13="si",IF(X13=30,VLOOKUP(V13,'[1]Tablas despensa y pasaje 2018'!$A$3:$I$38,2,0),IF(PLANTILLA!X13=40,VLOOKUP(PLANTILLA!V13,'[1]Tablas despensa y pasaje 2018'!$A$3:$I$38,6,0))),IF(X13=30,VLOOKUP(V13,'[1]Tablas despensa y pasaje 2018'!$A$41:$I$48,2,0),IF(X13=40,VLOOKUP(V13,'[1]Tablas despensa y pasaje 2018'!$A$41:$I$48,6,0),0))))</f>
        <v>22186</v>
      </c>
      <c r="AB13" s="49">
        <f>IF(C13="Plaza sin presupuesto",0,IF(W13="si",IF(X13=30,VLOOKUP(V13,'[1]Tablas despensa y pasaje 2018'!$A$3:$I$38,3,0),IF(PLANTILLA!X13=40,VLOOKUP(PLANTILLA!V13,'[1]Tablas despensa y pasaje 2018'!$A$3:$I$38,7,0))),IF(X13=30,VLOOKUP(V13,'[1]Tablas despensa y pasaje 2018'!$A$41:$I$48,3,0),IF(X13=40,VLOOKUP(V13,'[1]Tablas despensa y pasaje 2018'!$A$41:$I$48,7,0),0))))</f>
        <v>1465</v>
      </c>
      <c r="AC13" s="49">
        <f>IF(C13="Plaza sin presupuesto",0,IF(W13="si",IF(X13=30,VLOOKUP(V13,'[1]Tablas despensa y pasaje 2018'!$A$3:$I$38,4,0),IF(PLANTILLA!X13=40,VLOOKUP(PLANTILLA!V13,'[1]Tablas despensa y pasaje 2018'!$A$3:$I$38,8,0))),IF(X13=30,VLOOKUP(V13,'[1]Tablas despensa y pasaje 2018'!$A$41:$I$48,4,0),IF(X13=40,VLOOKUP(V13,'[1]Tablas despensa y pasaje 2018'!$A$41:$I$48,8,0),0))))</f>
        <v>987</v>
      </c>
      <c r="AD13" s="49">
        <f t="shared" si="8"/>
        <v>0</v>
      </c>
      <c r="AE13" s="49">
        <f t="shared" si="9"/>
        <v>176.72</v>
      </c>
      <c r="AF13" s="49">
        <f t="shared" si="63"/>
        <v>11093</v>
      </c>
      <c r="AG13" s="49">
        <f t="shared" si="10"/>
        <v>36976.666666666664</v>
      </c>
      <c r="AH13" s="49">
        <f t="shared" si="11"/>
        <v>3697.6666666666665</v>
      </c>
      <c r="AI13" s="49">
        <f t="shared" si="12"/>
        <v>3882.5499999999997</v>
      </c>
      <c r="AJ13" s="49">
        <f t="shared" si="13"/>
        <v>665.57999999999993</v>
      </c>
      <c r="AK13" s="49">
        <f t="shared" si="14"/>
        <v>443.72</v>
      </c>
      <c r="AL13" s="49">
        <f t="shared" si="15"/>
        <v>1064.9280000000001</v>
      </c>
      <c r="AM13" s="50">
        <f>IF((SUM(AA13:AE13)/2)=0,0,(((((SUM(AA13:AE13)/2)-(VLOOKUP((SUM(AA13:AE13)/2),'[1]Tablas ISR'!$A$4:$D$14,1,TRUE)))*(VLOOKUP((SUM(AA13:AE13)/2),'[1]Tablas ISR'!$A$4:$D$14,4,TRUE)))/100)+(VLOOKUP((SUM(AA13:AE13)/2),'[1]Tablas ISR'!$A$4:$D$14,3,TRUE)))*2)</f>
        <v>4043.7672000000002</v>
      </c>
      <c r="AN13" s="51">
        <f t="shared" si="16"/>
        <v>2551.3900000000003</v>
      </c>
      <c r="AO13" s="49">
        <f t="shared" si="17"/>
        <v>11093</v>
      </c>
      <c r="AP13" s="49">
        <f t="shared" si="18"/>
        <v>732.5</v>
      </c>
      <c r="AQ13" s="49">
        <f t="shared" si="19"/>
        <v>493.5</v>
      </c>
      <c r="AR13" s="49">
        <f t="shared" si="20"/>
        <v>0</v>
      </c>
      <c r="AS13" s="49">
        <f t="shared" si="21"/>
        <v>88.36</v>
      </c>
      <c r="AT13" s="49">
        <f t="shared" si="22"/>
        <v>1941.2749999999999</v>
      </c>
      <c r="AU13" s="49">
        <f t="shared" si="23"/>
        <v>332.78999999999996</v>
      </c>
      <c r="AV13" s="49">
        <f t="shared" si="24"/>
        <v>532.46400000000006</v>
      </c>
      <c r="AW13" s="52">
        <f t="shared" si="25"/>
        <v>9109.7813999999998</v>
      </c>
      <c r="AX13" s="3">
        <f t="shared" si="26"/>
        <v>739.5333333333333</v>
      </c>
      <c r="AY13" s="3">
        <f t="shared" si="27"/>
        <v>48.833333333333336</v>
      </c>
      <c r="AZ13" s="3">
        <f t="shared" si="28"/>
        <v>32.9</v>
      </c>
      <c r="BA13" s="3">
        <f t="shared" si="29"/>
        <v>0</v>
      </c>
      <c r="BB13" s="3">
        <f t="shared" si="30"/>
        <v>5.8906666666666663</v>
      </c>
      <c r="BC13" s="3">
        <f t="shared" si="31"/>
        <v>30.391780821917809</v>
      </c>
      <c r="BD13" s="3">
        <f t="shared" si="32"/>
        <v>101.30593607305936</v>
      </c>
      <c r="BE13" s="3">
        <f t="shared" si="33"/>
        <v>10.130593607305936</v>
      </c>
      <c r="BF13" s="3">
        <f t="shared" si="34"/>
        <v>129.41833333333332</v>
      </c>
      <c r="BG13" s="3">
        <f t="shared" si="35"/>
        <v>22.185999999999996</v>
      </c>
      <c r="BH13" s="3">
        <f t="shared" si="36"/>
        <v>14.790666666666668</v>
      </c>
      <c r="BI13" s="3">
        <f t="shared" si="37"/>
        <v>35.497600000000006</v>
      </c>
      <c r="BJ13" s="3">
        <f t="shared" si="38"/>
        <v>22186</v>
      </c>
      <c r="BK13" s="3">
        <f t="shared" si="39"/>
        <v>1465</v>
      </c>
      <c r="BL13" s="3">
        <f t="shared" si="40"/>
        <v>987</v>
      </c>
      <c r="BM13" s="3">
        <f t="shared" si="41"/>
        <v>0</v>
      </c>
      <c r="BN13" s="3">
        <f t="shared" si="42"/>
        <v>176.72</v>
      </c>
      <c r="BO13" s="3">
        <f t="shared" si="43"/>
        <v>924.41666666666663</v>
      </c>
      <c r="BP13" s="3">
        <f t="shared" si="44"/>
        <v>3081.3888888888887</v>
      </c>
      <c r="BQ13" s="3">
        <f t="shared" si="45"/>
        <v>308.13888888888886</v>
      </c>
      <c r="BR13" s="3">
        <f t="shared" si="46"/>
        <v>3882.5499999999997</v>
      </c>
      <c r="BS13" s="3">
        <f t="shared" si="47"/>
        <v>665.57999999999993</v>
      </c>
      <c r="BT13" s="3">
        <f t="shared" si="48"/>
        <v>443.72</v>
      </c>
      <c r="BU13" s="3">
        <f t="shared" si="49"/>
        <v>1064.9280000000001</v>
      </c>
      <c r="BV13" s="53">
        <f t="shared" si="50"/>
        <v>266232</v>
      </c>
      <c r="BW13" s="53">
        <f t="shared" si="51"/>
        <v>17580</v>
      </c>
      <c r="BX13" s="53">
        <f t="shared" si="52"/>
        <v>11844</v>
      </c>
      <c r="BY13" s="53">
        <f t="shared" si="53"/>
        <v>0</v>
      </c>
      <c r="BZ13" s="53">
        <f t="shared" si="54"/>
        <v>2120.64</v>
      </c>
      <c r="CA13" s="53">
        <f t="shared" si="55"/>
        <v>11093</v>
      </c>
      <c r="CB13" s="53">
        <f t="shared" si="56"/>
        <v>36976.666666666664</v>
      </c>
      <c r="CC13" s="53">
        <f t="shared" si="57"/>
        <v>3697.6666666666665</v>
      </c>
      <c r="CD13" s="53">
        <f t="shared" si="58"/>
        <v>46590.6</v>
      </c>
      <c r="CE13" s="53">
        <f t="shared" si="59"/>
        <v>7986.9599999999991</v>
      </c>
      <c r="CF13" s="53">
        <f t="shared" si="60"/>
        <v>5324.64</v>
      </c>
      <c r="CG13" s="53">
        <f t="shared" si="61"/>
        <v>12779.136000000002</v>
      </c>
      <c r="CH13" s="54">
        <f t="shared" si="62"/>
        <v>422225.3093333334</v>
      </c>
      <c r="CI13" s="46"/>
      <c r="CJ13" s="46"/>
      <c r="CK13" s="46"/>
      <c r="CL13" s="46"/>
      <c r="CM13" s="46"/>
      <c r="CN13" s="46"/>
      <c r="CO13" s="46"/>
      <c r="CP13" s="46"/>
    </row>
    <row r="14" spans="1:94" ht="27" customHeight="1" x14ac:dyDescent="0.2">
      <c r="A14" s="8">
        <v>10</v>
      </c>
      <c r="B14" s="8">
        <v>235</v>
      </c>
      <c r="C14" s="43" t="s">
        <v>213</v>
      </c>
      <c r="D14" s="44" t="str">
        <f t="shared" si="0"/>
        <v>Barraza</v>
      </c>
      <c r="E14" s="44" t="str">
        <f t="shared" si="1"/>
        <v xml:space="preserve">Lopez </v>
      </c>
      <c r="F14" s="44" t="str">
        <f t="shared" si="2"/>
        <v>Antonio</v>
      </c>
      <c r="G14" s="8">
        <v>1</v>
      </c>
      <c r="H14" s="8" t="s">
        <v>212</v>
      </c>
      <c r="I14" s="45" t="s">
        <v>211</v>
      </c>
      <c r="J14" s="45" t="s">
        <v>202</v>
      </c>
      <c r="K14" s="46" t="s">
        <v>18</v>
      </c>
      <c r="L14" s="46" t="s">
        <v>5</v>
      </c>
      <c r="M14" s="46" t="s">
        <v>22</v>
      </c>
      <c r="N14" s="47" t="str">
        <f>IF(H14&gt;0,MID(H14,9,2)&amp;"/"&amp;MID(H14,7,2)&amp;"/"&amp;MID(H14,5,2),0)</f>
        <v>03/11/72</v>
      </c>
      <c r="O14" s="48">
        <f t="shared" ca="1" si="3"/>
        <v>45</v>
      </c>
      <c r="P14" s="1">
        <v>38122</v>
      </c>
      <c r="Q14" s="2" t="str">
        <f t="shared" si="4"/>
        <v>14 años, 7 meses, 16 dias.</v>
      </c>
      <c r="R14" s="2">
        <f t="shared" si="5"/>
        <v>14</v>
      </c>
      <c r="S14" s="2">
        <f t="shared" si="6"/>
        <v>175</v>
      </c>
      <c r="T14" s="2">
        <f t="shared" si="7"/>
        <v>5343</v>
      </c>
      <c r="U14" s="46" t="s">
        <v>3</v>
      </c>
      <c r="V14" s="46">
        <v>18</v>
      </c>
      <c r="W14" s="46" t="s">
        <v>16</v>
      </c>
      <c r="X14" s="46">
        <v>40</v>
      </c>
      <c r="Y14" s="46" t="s">
        <v>15</v>
      </c>
      <c r="Z14" s="46" t="s">
        <v>1</v>
      </c>
      <c r="AA14" s="49">
        <f>IF(C14="Plaza sin presupuesto",0,IF(W14="si",IF(X14=30,VLOOKUP(V14,'[1]Tablas despensa y pasaje 2018'!$A$3:$I$38,2,0),IF(PLANTILLA!X14=40,VLOOKUP(PLANTILLA!V14,'[1]Tablas despensa y pasaje 2018'!$A$3:$I$38,6,0))),IF(X14=30,VLOOKUP(V14,'[1]Tablas despensa y pasaje 2018'!$A$41:$I$48,2,0),IF(X14=40,VLOOKUP(V14,'[1]Tablas despensa y pasaje 2018'!$A$41:$I$48,6,0),0))))</f>
        <v>22186</v>
      </c>
      <c r="AB14" s="49">
        <f>IF(C14="Plaza sin presupuesto",0,IF(W14="si",IF(X14=30,VLOOKUP(V14,'[1]Tablas despensa y pasaje 2018'!$A$3:$I$38,3,0),IF(PLANTILLA!X14=40,VLOOKUP(PLANTILLA!V14,'[1]Tablas despensa y pasaje 2018'!$A$3:$I$38,7,0))),IF(X14=30,VLOOKUP(V14,'[1]Tablas despensa y pasaje 2018'!$A$41:$I$48,3,0),IF(X14=40,VLOOKUP(V14,'[1]Tablas despensa y pasaje 2018'!$A$41:$I$48,7,0),0))))</f>
        <v>1465</v>
      </c>
      <c r="AC14" s="49">
        <f>IF(C14="Plaza sin presupuesto",0,IF(W14="si",IF(X14=30,VLOOKUP(V14,'[1]Tablas despensa y pasaje 2018'!$A$3:$I$38,4,0),IF(PLANTILLA!X14=40,VLOOKUP(PLANTILLA!V14,'[1]Tablas despensa y pasaje 2018'!$A$3:$I$38,8,0))),IF(X14=30,VLOOKUP(V14,'[1]Tablas despensa y pasaje 2018'!$A$41:$I$48,4,0),IF(X14=40,VLOOKUP(V14,'[1]Tablas despensa y pasaje 2018'!$A$41:$I$48,8,0),0))))</f>
        <v>987</v>
      </c>
      <c r="AD14" s="49">
        <f t="shared" si="8"/>
        <v>0</v>
      </c>
      <c r="AE14" s="49">
        <f t="shared" si="9"/>
        <v>265.08</v>
      </c>
      <c r="AF14" s="49">
        <f t="shared" si="63"/>
        <v>11093</v>
      </c>
      <c r="AG14" s="49">
        <f t="shared" si="10"/>
        <v>36976.666666666664</v>
      </c>
      <c r="AH14" s="49">
        <f t="shared" si="11"/>
        <v>3697.6666666666665</v>
      </c>
      <c r="AI14" s="49">
        <f t="shared" si="12"/>
        <v>3882.5499999999997</v>
      </c>
      <c r="AJ14" s="49">
        <f t="shared" si="13"/>
        <v>665.57999999999993</v>
      </c>
      <c r="AK14" s="49">
        <f t="shared" si="14"/>
        <v>443.72</v>
      </c>
      <c r="AL14" s="49">
        <f t="shared" si="15"/>
        <v>1064.9280000000001</v>
      </c>
      <c r="AM14" s="50">
        <f>IF((SUM(AA14:AE14)/2)=0,0,(((((SUM(AA14:AE14)/2)-(VLOOKUP((SUM(AA14:AE14)/2),'[1]Tablas ISR'!$A$4:$D$14,1,TRUE)))*(VLOOKUP((SUM(AA14:AE14)/2),'[1]Tablas ISR'!$A$4:$D$14,4,TRUE)))/100)+(VLOOKUP((SUM(AA14:AE14)/2),'[1]Tablas ISR'!$A$4:$D$14,3,TRUE)))*2)</f>
        <v>4064.5494720000002</v>
      </c>
      <c r="AN14" s="51">
        <f t="shared" si="16"/>
        <v>2551.3900000000003</v>
      </c>
      <c r="AO14" s="49">
        <f t="shared" si="17"/>
        <v>11093</v>
      </c>
      <c r="AP14" s="49">
        <f t="shared" si="18"/>
        <v>732.5</v>
      </c>
      <c r="AQ14" s="49">
        <f t="shared" si="19"/>
        <v>493.5</v>
      </c>
      <c r="AR14" s="49">
        <f t="shared" si="20"/>
        <v>0</v>
      </c>
      <c r="AS14" s="49">
        <f t="shared" si="21"/>
        <v>132.54</v>
      </c>
      <c r="AT14" s="49">
        <f t="shared" si="22"/>
        <v>1941.2749999999999</v>
      </c>
      <c r="AU14" s="49">
        <f t="shared" si="23"/>
        <v>332.78999999999996</v>
      </c>
      <c r="AV14" s="49">
        <f t="shared" si="24"/>
        <v>532.46400000000006</v>
      </c>
      <c r="AW14" s="52">
        <f t="shared" si="25"/>
        <v>9143.5702640000018</v>
      </c>
      <c r="AX14" s="3">
        <f t="shared" si="26"/>
        <v>739.5333333333333</v>
      </c>
      <c r="AY14" s="3">
        <f t="shared" si="27"/>
        <v>48.833333333333336</v>
      </c>
      <c r="AZ14" s="3">
        <f t="shared" si="28"/>
        <v>32.9</v>
      </c>
      <c r="BA14" s="3">
        <f t="shared" si="29"/>
        <v>0</v>
      </c>
      <c r="BB14" s="3">
        <f t="shared" si="30"/>
        <v>8.8360000000000003</v>
      </c>
      <c r="BC14" s="3">
        <f t="shared" si="31"/>
        <v>30.391780821917809</v>
      </c>
      <c r="BD14" s="3">
        <f t="shared" si="32"/>
        <v>101.30593607305936</v>
      </c>
      <c r="BE14" s="3">
        <f t="shared" si="33"/>
        <v>10.130593607305936</v>
      </c>
      <c r="BF14" s="3">
        <f t="shared" si="34"/>
        <v>129.41833333333332</v>
      </c>
      <c r="BG14" s="3">
        <f t="shared" si="35"/>
        <v>22.185999999999996</v>
      </c>
      <c r="BH14" s="3">
        <f t="shared" si="36"/>
        <v>14.790666666666668</v>
      </c>
      <c r="BI14" s="3">
        <f t="shared" si="37"/>
        <v>35.497600000000006</v>
      </c>
      <c r="BJ14" s="3">
        <f t="shared" si="38"/>
        <v>22186</v>
      </c>
      <c r="BK14" s="3">
        <f t="shared" si="39"/>
        <v>1465</v>
      </c>
      <c r="BL14" s="3">
        <f t="shared" si="40"/>
        <v>987</v>
      </c>
      <c r="BM14" s="3">
        <f t="shared" si="41"/>
        <v>0</v>
      </c>
      <c r="BN14" s="3">
        <f t="shared" si="42"/>
        <v>265.08</v>
      </c>
      <c r="BO14" s="3">
        <f t="shared" si="43"/>
        <v>924.41666666666663</v>
      </c>
      <c r="BP14" s="3">
        <f t="shared" si="44"/>
        <v>3081.3888888888887</v>
      </c>
      <c r="BQ14" s="3">
        <f t="shared" si="45"/>
        <v>308.13888888888886</v>
      </c>
      <c r="BR14" s="3">
        <f t="shared" si="46"/>
        <v>3882.5499999999997</v>
      </c>
      <c r="BS14" s="3">
        <f t="shared" si="47"/>
        <v>665.57999999999993</v>
      </c>
      <c r="BT14" s="3">
        <f t="shared" si="48"/>
        <v>443.72</v>
      </c>
      <c r="BU14" s="3">
        <f t="shared" si="49"/>
        <v>1064.9280000000001</v>
      </c>
      <c r="BV14" s="53">
        <f t="shared" si="50"/>
        <v>266232</v>
      </c>
      <c r="BW14" s="53">
        <f t="shared" si="51"/>
        <v>17580</v>
      </c>
      <c r="BX14" s="53">
        <f t="shared" si="52"/>
        <v>11844</v>
      </c>
      <c r="BY14" s="53">
        <f t="shared" si="53"/>
        <v>0</v>
      </c>
      <c r="BZ14" s="53">
        <f t="shared" si="54"/>
        <v>3180.96</v>
      </c>
      <c r="CA14" s="53">
        <f t="shared" si="55"/>
        <v>11093</v>
      </c>
      <c r="CB14" s="53">
        <f t="shared" si="56"/>
        <v>36976.666666666664</v>
      </c>
      <c r="CC14" s="53">
        <f t="shared" si="57"/>
        <v>3697.6666666666665</v>
      </c>
      <c r="CD14" s="53">
        <f t="shared" si="58"/>
        <v>46590.6</v>
      </c>
      <c r="CE14" s="53">
        <f t="shared" si="59"/>
        <v>7986.9599999999991</v>
      </c>
      <c r="CF14" s="53">
        <f t="shared" si="60"/>
        <v>5324.64</v>
      </c>
      <c r="CG14" s="53">
        <f t="shared" si="61"/>
        <v>12779.136000000002</v>
      </c>
      <c r="CH14" s="54">
        <f t="shared" si="62"/>
        <v>423285.6293333334</v>
      </c>
      <c r="CI14" s="46"/>
      <c r="CJ14" s="46"/>
      <c r="CK14" s="46"/>
      <c r="CL14" s="46"/>
      <c r="CM14" s="46"/>
      <c r="CN14" s="46"/>
      <c r="CO14" s="46"/>
      <c r="CP14" s="46"/>
    </row>
    <row r="15" spans="1:94" ht="27" customHeight="1" x14ac:dyDescent="0.2">
      <c r="A15" s="8">
        <v>11</v>
      </c>
      <c r="B15" s="8">
        <v>236</v>
      </c>
      <c r="C15" s="43" t="s">
        <v>210</v>
      </c>
      <c r="D15" s="44" t="str">
        <f t="shared" si="0"/>
        <v>Galindo</v>
      </c>
      <c r="E15" s="44" t="str">
        <f t="shared" si="1"/>
        <v xml:space="preserve">Zamora </v>
      </c>
      <c r="F15" s="44" t="str">
        <f t="shared" si="2"/>
        <v>Susana</v>
      </c>
      <c r="G15" s="8">
        <v>4</v>
      </c>
      <c r="H15" s="8" t="s">
        <v>209</v>
      </c>
      <c r="I15" s="45" t="s">
        <v>208</v>
      </c>
      <c r="J15" s="45" t="s">
        <v>202</v>
      </c>
      <c r="K15" s="46" t="s">
        <v>12</v>
      </c>
      <c r="L15" s="46" t="s">
        <v>17</v>
      </c>
      <c r="M15" s="46" t="s">
        <v>22</v>
      </c>
      <c r="N15" s="47" t="str">
        <f>IF(H15&gt;0,MID(H15,9,2)&amp;"/"&amp;MID(H15,7,2)&amp;"/"&amp;MID(H15,5,2),0)</f>
        <v>28/07/65</v>
      </c>
      <c r="O15" s="48">
        <f t="shared" ca="1" si="3"/>
        <v>52</v>
      </c>
      <c r="P15" s="1">
        <v>34001</v>
      </c>
      <c r="Q15" s="2" t="str">
        <f t="shared" si="4"/>
        <v>25 años, 10 meses, 30 dias.</v>
      </c>
      <c r="R15" s="2">
        <f t="shared" si="5"/>
        <v>25</v>
      </c>
      <c r="S15" s="2">
        <f t="shared" si="6"/>
        <v>310</v>
      </c>
      <c r="T15" s="2">
        <f t="shared" si="7"/>
        <v>9464</v>
      </c>
      <c r="U15" s="46" t="s">
        <v>3</v>
      </c>
      <c r="V15" s="46">
        <v>17</v>
      </c>
      <c r="W15" s="46" t="s">
        <v>1</v>
      </c>
      <c r="X15" s="46">
        <v>40</v>
      </c>
      <c r="Y15" s="46" t="s">
        <v>15</v>
      </c>
      <c r="Z15" s="46" t="s">
        <v>1</v>
      </c>
      <c r="AA15" s="49">
        <f>IF(C15="Plaza sin presupuesto",0,IF(W15="si",IF(X15=30,VLOOKUP(V15,'[1]Tablas despensa y pasaje 2018'!$A$3:$I$38,2,0),IF(PLANTILLA!X15=40,VLOOKUP(PLANTILLA!V15,'[1]Tablas despensa y pasaje 2018'!$A$3:$I$38,6,0))),IF(X15=30,VLOOKUP(V15,'[1]Tablas despensa y pasaje 2018'!$A$41:$I$48,2,0),IF(X15=40,VLOOKUP(V15,'[1]Tablas despensa y pasaje 2018'!$A$41:$I$48,6,0),0))))</f>
        <v>19032</v>
      </c>
      <c r="AB15" s="49">
        <f>IF(C15="Plaza sin presupuesto",0,IF(W15="si",IF(X15=30,VLOOKUP(V15,'[1]Tablas despensa y pasaje 2018'!$A$3:$I$38,3,0),IF(PLANTILLA!X15=40,VLOOKUP(PLANTILLA!V15,'[1]Tablas despensa y pasaje 2018'!$A$3:$I$38,7,0))),IF(X15=30,VLOOKUP(V15,'[1]Tablas despensa y pasaje 2018'!$A$41:$I$48,3,0),IF(X15=40,VLOOKUP(V15,'[1]Tablas despensa y pasaje 2018'!$A$41:$I$48,7,0),0))))</f>
        <v>1286</v>
      </c>
      <c r="AC15" s="49">
        <f>IF(C15="Plaza sin presupuesto",0,IF(W15="si",IF(X15=30,VLOOKUP(V15,'[1]Tablas despensa y pasaje 2018'!$A$3:$I$38,4,0),IF(PLANTILLA!X15=40,VLOOKUP(PLANTILLA!V15,'[1]Tablas despensa y pasaje 2018'!$A$3:$I$38,8,0))),IF(X15=30,VLOOKUP(V15,'[1]Tablas despensa y pasaje 2018'!$A$41:$I$48,4,0),IF(X15=40,VLOOKUP(V15,'[1]Tablas despensa y pasaje 2018'!$A$41:$I$48,8,0),0))))</f>
        <v>857</v>
      </c>
      <c r="AD15" s="49">
        <f t="shared" si="8"/>
        <v>0</v>
      </c>
      <c r="AE15" s="49">
        <f t="shared" si="9"/>
        <v>530.16</v>
      </c>
      <c r="AF15" s="49">
        <f t="shared" si="63"/>
        <v>9516</v>
      </c>
      <c r="AG15" s="49">
        <f t="shared" si="10"/>
        <v>31720</v>
      </c>
      <c r="AH15" s="49">
        <f t="shared" si="11"/>
        <v>3172</v>
      </c>
      <c r="AI15" s="49">
        <f t="shared" si="12"/>
        <v>3330.6</v>
      </c>
      <c r="AJ15" s="49">
        <f t="shared" si="13"/>
        <v>570.95999999999992</v>
      </c>
      <c r="AK15" s="49">
        <f t="shared" si="14"/>
        <v>380.64</v>
      </c>
      <c r="AL15" s="49">
        <f t="shared" si="15"/>
        <v>913.53600000000006</v>
      </c>
      <c r="AM15" s="50">
        <f>IF((SUM(AA15:AE15)/2)=0,0,(((((SUM(AA15:AE15)/2)-(VLOOKUP((SUM(AA15:AE15)/2),'[1]Tablas ISR'!$A$4:$D$14,1,TRUE)))*(VLOOKUP((SUM(AA15:AE15)/2),'[1]Tablas ISR'!$A$4:$D$14,4,TRUE)))/100)+(VLOOKUP((SUM(AA15:AE15)/2),'[1]Tablas ISR'!$A$4:$D$14,3,TRUE)))*2)</f>
        <v>3359.8734240000003</v>
      </c>
      <c r="AN15" s="51">
        <f t="shared" si="16"/>
        <v>2188.6800000000003</v>
      </c>
      <c r="AO15" s="49">
        <f t="shared" si="17"/>
        <v>9516</v>
      </c>
      <c r="AP15" s="49">
        <f t="shared" si="18"/>
        <v>643</v>
      </c>
      <c r="AQ15" s="49">
        <f t="shared" si="19"/>
        <v>428.5</v>
      </c>
      <c r="AR15" s="49">
        <f t="shared" si="20"/>
        <v>0</v>
      </c>
      <c r="AS15" s="49">
        <f t="shared" si="21"/>
        <v>265.08</v>
      </c>
      <c r="AT15" s="49">
        <f t="shared" si="22"/>
        <v>1665.3</v>
      </c>
      <c r="AU15" s="49">
        <f t="shared" si="23"/>
        <v>285.47999999999996</v>
      </c>
      <c r="AV15" s="49">
        <f t="shared" si="24"/>
        <v>456.76800000000003</v>
      </c>
      <c r="AW15" s="52">
        <f t="shared" si="25"/>
        <v>8078.3032879999992</v>
      </c>
      <c r="AX15" s="3">
        <f t="shared" si="26"/>
        <v>634.4</v>
      </c>
      <c r="AY15" s="3">
        <f t="shared" si="27"/>
        <v>42.866666666666667</v>
      </c>
      <c r="AZ15" s="3">
        <f t="shared" si="28"/>
        <v>28.566666666666666</v>
      </c>
      <c r="BA15" s="3">
        <f t="shared" si="29"/>
        <v>0</v>
      </c>
      <c r="BB15" s="3">
        <f t="shared" si="30"/>
        <v>17.672000000000001</v>
      </c>
      <c r="BC15" s="3">
        <f t="shared" si="31"/>
        <v>26.07123287671233</v>
      </c>
      <c r="BD15" s="3">
        <f t="shared" si="32"/>
        <v>86.904109589041099</v>
      </c>
      <c r="BE15" s="3">
        <f t="shared" si="33"/>
        <v>8.6904109589041099</v>
      </c>
      <c r="BF15" s="3">
        <f t="shared" si="34"/>
        <v>111.02</v>
      </c>
      <c r="BG15" s="3">
        <f t="shared" si="35"/>
        <v>19.031999999999996</v>
      </c>
      <c r="BH15" s="3">
        <f t="shared" si="36"/>
        <v>12.687999999999999</v>
      </c>
      <c r="BI15" s="3">
        <f t="shared" si="37"/>
        <v>30.451200000000004</v>
      </c>
      <c r="BJ15" s="3">
        <f t="shared" si="38"/>
        <v>19032</v>
      </c>
      <c r="BK15" s="3">
        <f t="shared" si="39"/>
        <v>1286</v>
      </c>
      <c r="BL15" s="3">
        <f t="shared" si="40"/>
        <v>857</v>
      </c>
      <c r="BM15" s="3">
        <f t="shared" si="41"/>
        <v>0</v>
      </c>
      <c r="BN15" s="3">
        <f t="shared" si="42"/>
        <v>530.16</v>
      </c>
      <c r="BO15" s="3">
        <f t="shared" si="43"/>
        <v>793</v>
      </c>
      <c r="BP15" s="3">
        <f t="shared" si="44"/>
        <v>2643.3333333333335</v>
      </c>
      <c r="BQ15" s="3">
        <f t="shared" si="45"/>
        <v>264.33333333333331</v>
      </c>
      <c r="BR15" s="3">
        <f t="shared" si="46"/>
        <v>3330.6</v>
      </c>
      <c r="BS15" s="3">
        <f t="shared" si="47"/>
        <v>570.95999999999992</v>
      </c>
      <c r="BT15" s="3">
        <f t="shared" si="48"/>
        <v>380.64</v>
      </c>
      <c r="BU15" s="3">
        <f t="shared" si="49"/>
        <v>913.53600000000006</v>
      </c>
      <c r="BV15" s="53">
        <f t="shared" si="50"/>
        <v>228384</v>
      </c>
      <c r="BW15" s="53">
        <f t="shared" si="51"/>
        <v>15432</v>
      </c>
      <c r="BX15" s="53">
        <f t="shared" si="52"/>
        <v>10284</v>
      </c>
      <c r="BY15" s="53">
        <f t="shared" si="53"/>
        <v>0</v>
      </c>
      <c r="BZ15" s="53">
        <f t="shared" si="54"/>
        <v>6361.92</v>
      </c>
      <c r="CA15" s="53">
        <f t="shared" si="55"/>
        <v>9516</v>
      </c>
      <c r="CB15" s="53">
        <f t="shared" si="56"/>
        <v>31720</v>
      </c>
      <c r="CC15" s="53">
        <f t="shared" si="57"/>
        <v>3172</v>
      </c>
      <c r="CD15" s="53">
        <f t="shared" si="58"/>
        <v>39967.199999999997</v>
      </c>
      <c r="CE15" s="53">
        <f t="shared" si="59"/>
        <v>6851.5199999999986</v>
      </c>
      <c r="CF15" s="53">
        <f t="shared" si="60"/>
        <v>4567.68</v>
      </c>
      <c r="CG15" s="53">
        <f t="shared" si="61"/>
        <v>10962.432000000001</v>
      </c>
      <c r="CH15" s="54">
        <f t="shared" si="62"/>
        <v>367218.75200000009</v>
      </c>
      <c r="CI15" s="46"/>
      <c r="CJ15" s="46"/>
      <c r="CK15" s="46"/>
      <c r="CL15" s="46"/>
      <c r="CM15" s="46"/>
      <c r="CN15" s="46"/>
      <c r="CO15" s="46"/>
      <c r="CP15" s="46"/>
    </row>
    <row r="16" spans="1:94" ht="27" customHeight="1" x14ac:dyDescent="0.2">
      <c r="A16" s="8">
        <v>12</v>
      </c>
      <c r="B16" s="8">
        <v>238</v>
      </c>
      <c r="C16" s="43" t="s">
        <v>207</v>
      </c>
      <c r="D16" s="44" t="str">
        <f t="shared" si="0"/>
        <v>Patiño</v>
      </c>
      <c r="E16" s="44" t="str">
        <f t="shared" si="1"/>
        <v xml:space="preserve">Garcia </v>
      </c>
      <c r="F16" s="44" t="str">
        <f t="shared" si="2"/>
        <v>Patricia</v>
      </c>
      <c r="G16" s="8">
        <v>3</v>
      </c>
      <c r="H16" s="8" t="s">
        <v>206</v>
      </c>
      <c r="I16" s="45" t="s">
        <v>205</v>
      </c>
      <c r="J16" s="45" t="s">
        <v>202</v>
      </c>
      <c r="K16" s="46" t="s">
        <v>12</v>
      </c>
      <c r="L16" s="46" t="s">
        <v>17</v>
      </c>
      <c r="M16" s="46" t="s">
        <v>11</v>
      </c>
      <c r="N16" s="47" t="str">
        <f>IF(H16&gt;0,MID(H16,9,2)&amp;"/"&amp;MID(H16,7,2)&amp;"/"&amp;MID(H16,5,2),0)</f>
        <v>08/10/71</v>
      </c>
      <c r="O16" s="48">
        <f t="shared" ca="1" si="3"/>
        <v>46</v>
      </c>
      <c r="P16" s="1">
        <v>34182</v>
      </c>
      <c r="Q16" s="2" t="str">
        <f t="shared" si="4"/>
        <v>25 años, 4 meses, 30 dias.</v>
      </c>
      <c r="R16" s="2">
        <f t="shared" si="5"/>
        <v>25</v>
      </c>
      <c r="S16" s="2">
        <f t="shared" si="6"/>
        <v>304</v>
      </c>
      <c r="T16" s="2">
        <f t="shared" si="7"/>
        <v>9283</v>
      </c>
      <c r="U16" s="46" t="s">
        <v>3</v>
      </c>
      <c r="V16" s="46">
        <v>14</v>
      </c>
      <c r="W16" s="46" t="s">
        <v>1</v>
      </c>
      <c r="X16" s="46">
        <v>40</v>
      </c>
      <c r="Y16" s="46" t="s">
        <v>2</v>
      </c>
      <c r="Z16" s="46" t="s">
        <v>16</v>
      </c>
      <c r="AA16" s="49">
        <f>IF(C16="Plaza sin presupuesto",0,IF(W16="si",IF(X16=30,VLOOKUP(V16,'[1]Tablas despensa y pasaje 2018'!$A$3:$I$38,2,0),IF(PLANTILLA!X16=40,VLOOKUP(PLANTILLA!V16,'[1]Tablas despensa y pasaje 2018'!$A$3:$I$38,6,0))),IF(X16=30,VLOOKUP(V16,'[1]Tablas despensa y pasaje 2018'!$A$41:$I$48,2,0),IF(X16=40,VLOOKUP(V16,'[1]Tablas despensa y pasaje 2018'!$A$41:$I$48,6,0),0))))</f>
        <v>15426.3</v>
      </c>
      <c r="AB16" s="49">
        <f>IF(C16="Plaza sin presupuesto",0,IF(W16="si",IF(X16=30,VLOOKUP(V16,'[1]Tablas despensa y pasaje 2018'!$A$3:$I$38,3,0),IF(PLANTILLA!X16=40,VLOOKUP(PLANTILLA!V16,'[1]Tablas despensa y pasaje 2018'!$A$3:$I$38,7,0))),IF(X16=30,VLOOKUP(V16,'[1]Tablas despensa y pasaje 2018'!$A$41:$I$48,3,0),IF(X16=40,VLOOKUP(V16,'[1]Tablas despensa y pasaje 2018'!$A$41:$I$48,7,0),0))))</f>
        <v>836.88</v>
      </c>
      <c r="AC16" s="49">
        <f>IF(C16="Plaza sin presupuesto",0,IF(W16="si",IF(X16=30,VLOOKUP(V16,'[1]Tablas despensa y pasaje 2018'!$A$3:$I$38,4,0),IF(PLANTILLA!X16=40,VLOOKUP(PLANTILLA!V16,'[1]Tablas despensa y pasaje 2018'!$A$3:$I$38,8,0))),IF(X16=30,VLOOKUP(V16,'[1]Tablas despensa y pasaje 2018'!$A$41:$I$48,4,0),IF(X16=40,VLOOKUP(V16,'[1]Tablas despensa y pasaje 2018'!$A$41:$I$48,8,0),0))))</f>
        <v>564.17999999999995</v>
      </c>
      <c r="AD16" s="49">
        <f t="shared" si="8"/>
        <v>462.78899999999999</v>
      </c>
      <c r="AE16" s="49">
        <f t="shared" si="9"/>
        <v>530.16</v>
      </c>
      <c r="AF16" s="49">
        <f t="shared" si="63"/>
        <v>8910.1544999999987</v>
      </c>
      <c r="AG16" s="49">
        <f t="shared" si="10"/>
        <v>25710.499999999996</v>
      </c>
      <c r="AH16" s="49">
        <f t="shared" si="11"/>
        <v>2571.0499999999997</v>
      </c>
      <c r="AI16" s="49">
        <f t="shared" si="12"/>
        <v>2699.6024999999995</v>
      </c>
      <c r="AJ16" s="49">
        <f t="shared" si="13"/>
        <v>462.78899999999999</v>
      </c>
      <c r="AK16" s="49">
        <f t="shared" si="14"/>
        <v>308.52600000000001</v>
      </c>
      <c r="AL16" s="49">
        <f t="shared" si="15"/>
        <v>740.4624</v>
      </c>
      <c r="AM16" s="50">
        <f>IF((SUM(AA16:AE16)/2)=0,0,(((((SUM(AA16:AE16)/2)-(VLOOKUP((SUM(AA16:AE16)/2),'[1]Tablas ISR'!$A$4:$D$14,1,TRUE)))*(VLOOKUP((SUM(AA16:AE16)/2),'[1]Tablas ISR'!$A$4:$D$14,4,TRUE)))/100)+(VLOOKUP((SUM(AA16:AE16)/2),'[1]Tablas ISR'!$A$4:$D$14,3,TRUE)))*2)</f>
        <v>2530.0692503999994</v>
      </c>
      <c r="AN16" s="51">
        <f t="shared" si="16"/>
        <v>1774.0245</v>
      </c>
      <c r="AO16" s="49">
        <f t="shared" si="17"/>
        <v>7713.15</v>
      </c>
      <c r="AP16" s="49">
        <f t="shared" si="18"/>
        <v>418.44</v>
      </c>
      <c r="AQ16" s="49">
        <f t="shared" si="19"/>
        <v>282.08999999999997</v>
      </c>
      <c r="AR16" s="49">
        <f t="shared" si="20"/>
        <v>231.39449999999999</v>
      </c>
      <c r="AS16" s="49">
        <f t="shared" si="21"/>
        <v>265.08</v>
      </c>
      <c r="AT16" s="49">
        <f t="shared" si="22"/>
        <v>1349.8012499999998</v>
      </c>
      <c r="AU16" s="49">
        <f t="shared" si="23"/>
        <v>231.39449999999999</v>
      </c>
      <c r="AV16" s="49">
        <f t="shared" si="24"/>
        <v>370.2312</v>
      </c>
      <c r="AW16" s="52">
        <f t="shared" si="25"/>
        <v>6758.107624799999</v>
      </c>
      <c r="AX16" s="3">
        <f t="shared" si="26"/>
        <v>514.20999999999992</v>
      </c>
      <c r="AY16" s="3">
        <f t="shared" si="27"/>
        <v>27.896000000000001</v>
      </c>
      <c r="AZ16" s="3">
        <f t="shared" si="28"/>
        <v>18.805999999999997</v>
      </c>
      <c r="BA16" s="3">
        <f t="shared" si="29"/>
        <v>15.426299999999999</v>
      </c>
      <c r="BB16" s="3">
        <f t="shared" si="30"/>
        <v>17.672000000000001</v>
      </c>
      <c r="BC16" s="3">
        <f t="shared" si="31"/>
        <v>24.411382191780817</v>
      </c>
      <c r="BD16" s="3">
        <f t="shared" si="32"/>
        <v>70.439726027397256</v>
      </c>
      <c r="BE16" s="3">
        <f t="shared" si="33"/>
        <v>7.0439726027397249</v>
      </c>
      <c r="BF16" s="3">
        <f t="shared" si="34"/>
        <v>89.986749999999986</v>
      </c>
      <c r="BG16" s="3">
        <f t="shared" si="35"/>
        <v>15.426299999999999</v>
      </c>
      <c r="BH16" s="3">
        <f t="shared" si="36"/>
        <v>10.2842</v>
      </c>
      <c r="BI16" s="3">
        <f t="shared" si="37"/>
        <v>24.682079999999999</v>
      </c>
      <c r="BJ16" s="3">
        <f t="shared" si="38"/>
        <v>15426.299999999997</v>
      </c>
      <c r="BK16" s="3">
        <f t="shared" si="39"/>
        <v>836.88</v>
      </c>
      <c r="BL16" s="3">
        <f t="shared" si="40"/>
        <v>564.17999999999995</v>
      </c>
      <c r="BM16" s="3">
        <f t="shared" si="41"/>
        <v>462.78899999999999</v>
      </c>
      <c r="BN16" s="3">
        <f t="shared" si="42"/>
        <v>530.16</v>
      </c>
      <c r="BO16" s="3">
        <f t="shared" si="43"/>
        <v>742.51287499999989</v>
      </c>
      <c r="BP16" s="3">
        <f t="shared" si="44"/>
        <v>2142.5416666666665</v>
      </c>
      <c r="BQ16" s="3">
        <f t="shared" si="45"/>
        <v>214.25416666666663</v>
      </c>
      <c r="BR16" s="3">
        <f t="shared" si="46"/>
        <v>2699.6024999999995</v>
      </c>
      <c r="BS16" s="3">
        <f t="shared" si="47"/>
        <v>462.78899999999999</v>
      </c>
      <c r="BT16" s="3">
        <f t="shared" si="48"/>
        <v>308.52600000000001</v>
      </c>
      <c r="BU16" s="3">
        <f t="shared" si="49"/>
        <v>740.4624</v>
      </c>
      <c r="BV16" s="53">
        <f t="shared" si="50"/>
        <v>185115.59999999998</v>
      </c>
      <c r="BW16" s="53">
        <f t="shared" si="51"/>
        <v>10042.56</v>
      </c>
      <c r="BX16" s="53">
        <f t="shared" si="52"/>
        <v>6770.16</v>
      </c>
      <c r="BY16" s="53">
        <f t="shared" si="53"/>
        <v>5553.4679999999998</v>
      </c>
      <c r="BZ16" s="53">
        <f t="shared" si="54"/>
        <v>6361.92</v>
      </c>
      <c r="CA16" s="53">
        <f t="shared" si="55"/>
        <v>8910.1544999999987</v>
      </c>
      <c r="CB16" s="53">
        <f t="shared" si="56"/>
        <v>25710.499999999996</v>
      </c>
      <c r="CC16" s="53">
        <f t="shared" si="57"/>
        <v>2571.0499999999997</v>
      </c>
      <c r="CD16" s="53">
        <f t="shared" si="58"/>
        <v>32395.229999999996</v>
      </c>
      <c r="CE16" s="53">
        <f t="shared" si="59"/>
        <v>5553.4679999999998</v>
      </c>
      <c r="CF16" s="53">
        <f t="shared" si="60"/>
        <v>3702.3119999999999</v>
      </c>
      <c r="CG16" s="53">
        <f t="shared" si="61"/>
        <v>8885.5488000000005</v>
      </c>
      <c r="CH16" s="54">
        <f t="shared" si="62"/>
        <v>301571.97129999992</v>
      </c>
      <c r="CI16" s="46"/>
      <c r="CJ16" s="46"/>
      <c r="CK16" s="46"/>
      <c r="CL16" s="46"/>
      <c r="CM16" s="46"/>
      <c r="CN16" s="46"/>
      <c r="CO16" s="46"/>
      <c r="CP16" s="46"/>
    </row>
    <row r="17" spans="1:94" ht="27" customHeight="1" x14ac:dyDescent="0.2">
      <c r="A17" s="8">
        <v>13</v>
      </c>
      <c r="B17" s="8">
        <v>239</v>
      </c>
      <c r="C17" s="43" t="s">
        <v>204</v>
      </c>
      <c r="D17" s="44" t="str">
        <f t="shared" si="0"/>
        <v>Peña</v>
      </c>
      <c r="E17" s="44" t="str">
        <f t="shared" si="1"/>
        <v xml:space="preserve">Quevedo </v>
      </c>
      <c r="F17" s="44" t="str">
        <f t="shared" si="2"/>
        <v>Bertha Olivia</v>
      </c>
      <c r="G17" s="8">
        <v>3</v>
      </c>
      <c r="H17" s="8" t="s">
        <v>203</v>
      </c>
      <c r="I17" s="45" t="s">
        <v>45</v>
      </c>
      <c r="J17" s="45" t="s">
        <v>202</v>
      </c>
      <c r="K17" s="46" t="s">
        <v>12</v>
      </c>
      <c r="L17" s="46" t="s">
        <v>17</v>
      </c>
      <c r="M17" s="46" t="s">
        <v>30</v>
      </c>
      <c r="N17" s="47" t="str">
        <f>IF(H17&gt;0,MID(H17,9,2)&amp;"/"&amp;MID(H17,7,2)&amp;"/"&amp;MID(H17,5,2),0)</f>
        <v>02/08/77</v>
      </c>
      <c r="O17" s="48">
        <f t="shared" ca="1" si="3"/>
        <v>40</v>
      </c>
      <c r="P17" s="1">
        <v>37104</v>
      </c>
      <c r="Q17" s="2" t="str">
        <f t="shared" si="4"/>
        <v>17 años, 4 meses, 30 dias.</v>
      </c>
      <c r="R17" s="2">
        <f t="shared" si="5"/>
        <v>17</v>
      </c>
      <c r="S17" s="2">
        <f t="shared" si="6"/>
        <v>208</v>
      </c>
      <c r="T17" s="2">
        <f t="shared" si="7"/>
        <v>6361</v>
      </c>
      <c r="U17" s="46" t="s">
        <v>3</v>
      </c>
      <c r="V17" s="46">
        <v>13</v>
      </c>
      <c r="W17" s="46" t="s">
        <v>1</v>
      </c>
      <c r="X17" s="46">
        <v>40</v>
      </c>
      <c r="Y17" s="46" t="s">
        <v>2</v>
      </c>
      <c r="Z17" s="46" t="s">
        <v>16</v>
      </c>
      <c r="AA17" s="49">
        <f>IF(C17="Plaza sin presupuesto",0,IF(W17="si",IF(X17=30,VLOOKUP(V17,'[1]Tablas despensa y pasaje 2018'!$A$3:$I$38,2,0),IF(PLANTILLA!X17=40,VLOOKUP(PLANTILLA!V17,'[1]Tablas despensa y pasaje 2018'!$A$3:$I$38,6,0))),IF(X17=30,VLOOKUP(V17,'[1]Tablas despensa y pasaje 2018'!$A$41:$I$48,2,0),IF(X17=40,VLOOKUP(V17,'[1]Tablas despensa y pasaje 2018'!$A$41:$I$48,6,0),0))))</f>
        <v>13714</v>
      </c>
      <c r="AB17" s="49">
        <f>IF(C17="Plaza sin presupuesto",0,IF(W17="si",IF(X17=30,VLOOKUP(V17,'[1]Tablas despensa y pasaje 2018'!$A$3:$I$38,3,0),IF(PLANTILLA!X17=40,VLOOKUP(PLANTILLA!V17,'[1]Tablas despensa y pasaje 2018'!$A$3:$I$38,7,0))),IF(X17=30,VLOOKUP(V17,'[1]Tablas despensa y pasaje 2018'!$A$41:$I$48,3,0),IF(X17=40,VLOOKUP(V17,'[1]Tablas despensa y pasaje 2018'!$A$41:$I$48,7,0),0))))</f>
        <v>1128</v>
      </c>
      <c r="AC17" s="49">
        <f>IF(C17="Plaza sin presupuesto",0,IF(W17="si",IF(X17=30,VLOOKUP(V17,'[1]Tablas despensa y pasaje 2018'!$A$3:$I$38,4,0),IF(PLANTILLA!X17=40,VLOOKUP(PLANTILLA!V17,'[1]Tablas despensa y pasaje 2018'!$A$3:$I$38,8,0))),IF(X17=30,VLOOKUP(V17,'[1]Tablas despensa y pasaje 2018'!$A$41:$I$48,4,0),IF(X17=40,VLOOKUP(V17,'[1]Tablas despensa y pasaje 2018'!$A$41:$I$48,8,0),0))))</f>
        <v>703</v>
      </c>
      <c r="AD17" s="49">
        <f t="shared" si="8"/>
        <v>411.41999999999996</v>
      </c>
      <c r="AE17" s="49">
        <f t="shared" si="9"/>
        <v>353.44</v>
      </c>
      <c r="AF17" s="49">
        <f t="shared" si="63"/>
        <v>8154.93</v>
      </c>
      <c r="AG17" s="49">
        <f t="shared" si="10"/>
        <v>22856.666666666668</v>
      </c>
      <c r="AH17" s="49">
        <f t="shared" si="11"/>
        <v>2285.6666666666665</v>
      </c>
      <c r="AI17" s="49">
        <f t="shared" si="12"/>
        <v>2399.9499999999998</v>
      </c>
      <c r="AJ17" s="49">
        <f t="shared" si="13"/>
        <v>411.41999999999996</v>
      </c>
      <c r="AK17" s="49">
        <f t="shared" si="14"/>
        <v>274.28000000000003</v>
      </c>
      <c r="AL17" s="49">
        <f t="shared" si="15"/>
        <v>658.27200000000005</v>
      </c>
      <c r="AM17" s="50">
        <f>IF((SUM(AA17:AE17)/2)=0,0,(((((SUM(AA17:AE17)/2)-(VLOOKUP((SUM(AA17:AE17)/2),'[1]Tablas ISR'!$A$4:$D$14,1,TRUE)))*(VLOOKUP((SUM(AA17:AE17)/2),'[1]Tablas ISR'!$A$4:$D$14,4,TRUE)))/100)+(VLOOKUP((SUM(AA17:AE17)/2),'[1]Tablas ISR'!$A$4:$D$14,3,TRUE)))*2)</f>
        <v>2207.4373439999999</v>
      </c>
      <c r="AN17" s="51">
        <f t="shared" si="16"/>
        <v>1577.1100000000001</v>
      </c>
      <c r="AO17" s="49">
        <f t="shared" si="17"/>
        <v>6857</v>
      </c>
      <c r="AP17" s="49">
        <f t="shared" si="18"/>
        <v>564</v>
      </c>
      <c r="AQ17" s="49">
        <f t="shared" si="19"/>
        <v>351.5</v>
      </c>
      <c r="AR17" s="49">
        <f t="shared" si="20"/>
        <v>205.70999999999998</v>
      </c>
      <c r="AS17" s="49">
        <f t="shared" si="21"/>
        <v>176.72</v>
      </c>
      <c r="AT17" s="49">
        <f t="shared" si="22"/>
        <v>1199.9749999999999</v>
      </c>
      <c r="AU17" s="49">
        <f t="shared" si="23"/>
        <v>205.70999999999998</v>
      </c>
      <c r="AV17" s="49">
        <f t="shared" si="24"/>
        <v>329.13600000000002</v>
      </c>
      <c r="AW17" s="52">
        <f t="shared" si="25"/>
        <v>6262.656328</v>
      </c>
      <c r="AX17" s="3">
        <f t="shared" si="26"/>
        <v>457.13333333333333</v>
      </c>
      <c r="AY17" s="3">
        <f t="shared" si="27"/>
        <v>37.6</v>
      </c>
      <c r="AZ17" s="3">
        <f t="shared" si="28"/>
        <v>23.433333333333334</v>
      </c>
      <c r="BA17" s="3">
        <f t="shared" si="29"/>
        <v>13.713999999999999</v>
      </c>
      <c r="BB17" s="3">
        <f t="shared" si="30"/>
        <v>11.781333333333333</v>
      </c>
      <c r="BC17" s="3">
        <f t="shared" si="31"/>
        <v>22.34227397260274</v>
      </c>
      <c r="BD17" s="3">
        <f t="shared" si="32"/>
        <v>62.621004566210047</v>
      </c>
      <c r="BE17" s="3">
        <f t="shared" si="33"/>
        <v>6.2621004566210043</v>
      </c>
      <c r="BF17" s="3">
        <f t="shared" si="34"/>
        <v>79.998333333333321</v>
      </c>
      <c r="BG17" s="3">
        <f t="shared" si="35"/>
        <v>13.713999999999999</v>
      </c>
      <c r="BH17" s="3">
        <f t="shared" si="36"/>
        <v>9.1426666666666669</v>
      </c>
      <c r="BI17" s="3">
        <f t="shared" si="37"/>
        <v>21.942400000000003</v>
      </c>
      <c r="BJ17" s="3">
        <f t="shared" si="38"/>
        <v>13714</v>
      </c>
      <c r="BK17" s="3">
        <f t="shared" si="39"/>
        <v>1128</v>
      </c>
      <c r="BL17" s="3">
        <f t="shared" si="40"/>
        <v>703</v>
      </c>
      <c r="BM17" s="3">
        <f t="shared" si="41"/>
        <v>411.41999999999996</v>
      </c>
      <c r="BN17" s="3">
        <f t="shared" si="42"/>
        <v>353.44</v>
      </c>
      <c r="BO17" s="3">
        <f t="shared" si="43"/>
        <v>679.57749999999999</v>
      </c>
      <c r="BP17" s="3">
        <f t="shared" si="44"/>
        <v>1904.7222222222224</v>
      </c>
      <c r="BQ17" s="3">
        <f t="shared" si="45"/>
        <v>190.4722222222222</v>
      </c>
      <c r="BR17" s="3">
        <f t="shared" si="46"/>
        <v>2399.9499999999998</v>
      </c>
      <c r="BS17" s="3">
        <f t="shared" si="47"/>
        <v>411.41999999999996</v>
      </c>
      <c r="BT17" s="3">
        <f t="shared" si="48"/>
        <v>274.28000000000003</v>
      </c>
      <c r="BU17" s="3">
        <f t="shared" si="49"/>
        <v>658.27200000000005</v>
      </c>
      <c r="BV17" s="53">
        <f t="shared" si="50"/>
        <v>164568</v>
      </c>
      <c r="BW17" s="53">
        <f t="shared" si="51"/>
        <v>13536</v>
      </c>
      <c r="BX17" s="53">
        <f t="shared" si="52"/>
        <v>8436</v>
      </c>
      <c r="BY17" s="53">
        <f t="shared" si="53"/>
        <v>4937.0399999999991</v>
      </c>
      <c r="BZ17" s="53">
        <f t="shared" si="54"/>
        <v>4241.28</v>
      </c>
      <c r="CA17" s="53">
        <f t="shared" si="55"/>
        <v>8154.93</v>
      </c>
      <c r="CB17" s="53">
        <f t="shared" si="56"/>
        <v>22856.666666666668</v>
      </c>
      <c r="CC17" s="53">
        <f t="shared" si="57"/>
        <v>2285.6666666666665</v>
      </c>
      <c r="CD17" s="53">
        <f t="shared" si="58"/>
        <v>28799.399999999998</v>
      </c>
      <c r="CE17" s="53">
        <f t="shared" si="59"/>
        <v>4937.0399999999991</v>
      </c>
      <c r="CF17" s="53">
        <f t="shared" si="60"/>
        <v>3291.3600000000006</v>
      </c>
      <c r="CG17" s="53">
        <f t="shared" si="61"/>
        <v>7899.264000000001</v>
      </c>
      <c r="CH17" s="54">
        <f t="shared" si="62"/>
        <v>273942.64733333333</v>
      </c>
      <c r="CI17" s="46"/>
      <c r="CJ17" s="46"/>
      <c r="CK17" s="46"/>
      <c r="CL17" s="46"/>
      <c r="CM17" s="46"/>
      <c r="CN17" s="46"/>
      <c r="CO17" s="46"/>
      <c r="CP17" s="46"/>
    </row>
    <row r="18" spans="1:94" s="68" customFormat="1" ht="27" customHeight="1" x14ac:dyDescent="0.2">
      <c r="A18" s="56">
        <v>14</v>
      </c>
      <c r="B18" s="56">
        <v>240</v>
      </c>
      <c r="C18" s="56" t="s">
        <v>38</v>
      </c>
      <c r="D18" s="56" t="str">
        <f t="shared" si="0"/>
        <v>Plaza</v>
      </c>
      <c r="E18" s="56" t="str">
        <f t="shared" si="1"/>
        <v xml:space="preserve">sin </v>
      </c>
      <c r="F18" s="56" t="str">
        <f t="shared" si="2"/>
        <v>presupuesto</v>
      </c>
      <c r="G18" s="56">
        <v>1</v>
      </c>
      <c r="H18" s="56"/>
      <c r="I18" s="57" t="s">
        <v>45</v>
      </c>
      <c r="J18" s="57" t="s">
        <v>202</v>
      </c>
      <c r="K18" s="58"/>
      <c r="L18" s="58"/>
      <c r="M18" s="58"/>
      <c r="N18" s="59">
        <f>IF(H18&gt;0,MID(H18,9,2)&amp;"/"&amp;MID(H18,7,2)&amp;"/"&amp;MID(H18,5,2),0)</f>
        <v>0</v>
      </c>
      <c r="O18" s="58" t="str">
        <f t="shared" ca="1" si="3"/>
        <v>N/A</v>
      </c>
      <c r="P18" s="60"/>
      <c r="Q18" s="4">
        <f t="shared" si="4"/>
        <v>0</v>
      </c>
      <c r="R18" s="4">
        <f t="shared" si="5"/>
        <v>118</v>
      </c>
      <c r="S18" s="4">
        <f t="shared" si="6"/>
        <v>1427</v>
      </c>
      <c r="T18" s="4">
        <f t="shared" si="7"/>
        <v>43465</v>
      </c>
      <c r="U18" s="58" t="s">
        <v>3</v>
      </c>
      <c r="V18" s="58">
        <v>13</v>
      </c>
      <c r="W18" s="58" t="s">
        <v>1</v>
      </c>
      <c r="X18" s="58">
        <v>40</v>
      </c>
      <c r="Y18" s="58" t="s">
        <v>2</v>
      </c>
      <c r="Z18" s="58" t="s">
        <v>16</v>
      </c>
      <c r="AA18" s="61">
        <v>0</v>
      </c>
      <c r="AB18" s="61">
        <f>IF(C18="Plaza sin presupuesto",0,IF(W18="si",IF(X18=30,VLOOKUP(V18,'[1]Tablas despensa y pasaje 2018'!$A$3:$I$38,3,0),IF(PLANTILLA!X18=40,VLOOKUP(PLANTILLA!V18,'[1]Tablas despensa y pasaje 2018'!$A$3:$I$38,7,0))),IF(X18=30,VLOOKUP(V18,'[1]Tablas despensa y pasaje 2018'!$A$41:$I$48,3,0),IF(X18=40,VLOOKUP(V18,'[1]Tablas despensa y pasaje 2018'!$A$41:$I$48,7,0),0))))</f>
        <v>0</v>
      </c>
      <c r="AC18" s="61">
        <f>IF(C18="Plaza sin presupuesto",0,IF(W18="si",IF(X18=30,VLOOKUP(V18,'[1]Tablas despensa y pasaje 2018'!$A$3:$I$38,4,0),IF(PLANTILLA!X18=40,VLOOKUP(PLANTILLA!V18,'[1]Tablas despensa y pasaje 2018'!$A$3:$I$38,8,0))),IF(X18=30,VLOOKUP(V18,'[1]Tablas despensa y pasaje 2018'!$A$41:$I$48,4,0),IF(X18=40,VLOOKUP(V18,'[1]Tablas despensa y pasaje 2018'!$A$41:$I$48,8,0),0))))</f>
        <v>0</v>
      </c>
      <c r="AD18" s="61">
        <f t="shared" si="8"/>
        <v>0</v>
      </c>
      <c r="AE18" s="61">
        <f t="shared" si="9"/>
        <v>0</v>
      </c>
      <c r="AF18" s="61">
        <f t="shared" si="63"/>
        <v>0</v>
      </c>
      <c r="AG18" s="61">
        <f t="shared" si="10"/>
        <v>0</v>
      </c>
      <c r="AH18" s="61">
        <f t="shared" si="11"/>
        <v>0</v>
      </c>
      <c r="AI18" s="61">
        <v>0</v>
      </c>
      <c r="AJ18" s="61">
        <v>0</v>
      </c>
      <c r="AK18" s="61">
        <v>0</v>
      </c>
      <c r="AL18" s="61">
        <v>0</v>
      </c>
      <c r="AM18" s="62">
        <v>0</v>
      </c>
      <c r="AN18" s="63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4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65">
        <f t="shared" si="50"/>
        <v>0</v>
      </c>
      <c r="BW18" s="65">
        <f t="shared" si="51"/>
        <v>0</v>
      </c>
      <c r="BX18" s="65">
        <f t="shared" si="52"/>
        <v>0</v>
      </c>
      <c r="BY18" s="65">
        <f t="shared" si="53"/>
        <v>0</v>
      </c>
      <c r="BZ18" s="65">
        <f t="shared" si="54"/>
        <v>0</v>
      </c>
      <c r="CA18" s="65">
        <f t="shared" si="55"/>
        <v>0</v>
      </c>
      <c r="CB18" s="65">
        <f t="shared" si="56"/>
        <v>0</v>
      </c>
      <c r="CC18" s="65">
        <f t="shared" si="57"/>
        <v>0</v>
      </c>
      <c r="CD18" s="65">
        <f t="shared" si="58"/>
        <v>0</v>
      </c>
      <c r="CE18" s="65">
        <f t="shared" si="59"/>
        <v>0</v>
      </c>
      <c r="CF18" s="65">
        <f t="shared" si="60"/>
        <v>0</v>
      </c>
      <c r="CG18" s="65">
        <f t="shared" si="61"/>
        <v>0</v>
      </c>
      <c r="CH18" s="66">
        <f t="shared" si="62"/>
        <v>0</v>
      </c>
      <c r="CI18" s="67"/>
      <c r="CJ18" s="67"/>
      <c r="CK18" s="67"/>
      <c r="CL18" s="67"/>
      <c r="CM18" s="67"/>
      <c r="CN18" s="67"/>
      <c r="CO18" s="67"/>
      <c r="CP18" s="67"/>
    </row>
    <row r="19" spans="1:94" s="68" customFormat="1" ht="27" customHeight="1" x14ac:dyDescent="0.2">
      <c r="A19" s="56">
        <v>15</v>
      </c>
      <c r="B19" s="56">
        <v>242</v>
      </c>
      <c r="C19" s="56" t="s">
        <v>38</v>
      </c>
      <c r="D19" s="56" t="str">
        <f t="shared" si="0"/>
        <v>Plaza</v>
      </c>
      <c r="E19" s="56" t="str">
        <f t="shared" si="1"/>
        <v xml:space="preserve">sin </v>
      </c>
      <c r="F19" s="56" t="str">
        <f t="shared" si="2"/>
        <v>presupuesto</v>
      </c>
      <c r="G19" s="56">
        <v>2</v>
      </c>
      <c r="H19" s="56"/>
      <c r="I19" s="57" t="s">
        <v>8</v>
      </c>
      <c r="J19" s="57" t="s">
        <v>202</v>
      </c>
      <c r="K19" s="58" t="s">
        <v>12</v>
      </c>
      <c r="L19" s="58"/>
      <c r="M19" s="58"/>
      <c r="N19" s="59">
        <f>IF(H19&gt;0,MID(H19,9,2)&amp;"/"&amp;MID(H19,7,2)&amp;"/"&amp;MID(H19,5,2),0)</f>
        <v>0</v>
      </c>
      <c r="O19" s="58" t="str">
        <f t="shared" ca="1" si="3"/>
        <v>N/A</v>
      </c>
      <c r="P19" s="60"/>
      <c r="Q19" s="4">
        <f t="shared" si="4"/>
        <v>0</v>
      </c>
      <c r="R19" s="4">
        <f t="shared" si="5"/>
        <v>118</v>
      </c>
      <c r="S19" s="4">
        <f t="shared" si="6"/>
        <v>1427</v>
      </c>
      <c r="T19" s="4">
        <f t="shared" si="7"/>
        <v>43465</v>
      </c>
      <c r="U19" s="58" t="s">
        <v>3</v>
      </c>
      <c r="V19" s="58">
        <v>13</v>
      </c>
      <c r="W19" s="58" t="s">
        <v>1</v>
      </c>
      <c r="X19" s="58">
        <v>30</v>
      </c>
      <c r="Y19" s="58" t="s">
        <v>2</v>
      </c>
      <c r="Z19" s="58" t="s">
        <v>16</v>
      </c>
      <c r="AA19" s="61">
        <f>IF(C19="Plaza sin presupuesto",0,IF(W19="si",IF(X19=30,VLOOKUP(V19,'[1]Tablas despensa y pasaje 2018'!$A$3:$I$38,2,0),IF(PLANTILLA!X19=40,VLOOKUP(PLANTILLA!V19,'[1]Tablas despensa y pasaje 2018'!$A$3:$I$38,6,0))),IF(X19=30,VLOOKUP(V19,'[1]Tablas despensa y pasaje 2018'!$A$41:$I$48,2,0),IF(X19=40,VLOOKUP(V19,'[1]Tablas despensa y pasaje 2018'!$A$41:$I$48,6,0),0))))</f>
        <v>0</v>
      </c>
      <c r="AB19" s="61">
        <f>IF(C19="Plaza sin presupuesto",0,IF(W19="si",IF(X19=30,VLOOKUP(V19,'[1]Tablas despensa y pasaje 2018'!$A$3:$I$38,3,0),IF(PLANTILLA!X19=40,VLOOKUP(PLANTILLA!V19,'[1]Tablas despensa y pasaje 2018'!$A$3:$I$38,7,0))),IF(X19=30,VLOOKUP(V19,'[1]Tablas despensa y pasaje 2018'!$A$41:$I$48,3,0),IF(X19=40,VLOOKUP(V19,'[1]Tablas despensa y pasaje 2018'!$A$41:$I$48,7,0),0))))</f>
        <v>0</v>
      </c>
      <c r="AC19" s="61">
        <f>IF(C19="Plaza sin presupuesto",0,IF(W19="si",IF(X19=30,VLOOKUP(V19,'[1]Tablas despensa y pasaje 2018'!$A$3:$I$38,4,0),IF(PLANTILLA!X19=40,VLOOKUP(PLANTILLA!V19,'[1]Tablas despensa y pasaje 2018'!$A$3:$I$38,8,0))),IF(X19=30,VLOOKUP(V19,'[1]Tablas despensa y pasaje 2018'!$A$41:$I$48,4,0),IF(X19=40,VLOOKUP(V19,'[1]Tablas despensa y pasaje 2018'!$A$41:$I$48,8,0),0))))</f>
        <v>0</v>
      </c>
      <c r="AD19" s="61">
        <f t="shared" si="8"/>
        <v>0</v>
      </c>
      <c r="AE19" s="61">
        <f t="shared" si="9"/>
        <v>0</v>
      </c>
      <c r="AF19" s="61">
        <f t="shared" si="63"/>
        <v>0</v>
      </c>
      <c r="AG19" s="61">
        <f t="shared" si="10"/>
        <v>0</v>
      </c>
      <c r="AH19" s="61">
        <f t="shared" si="11"/>
        <v>0</v>
      </c>
      <c r="AI19" s="61">
        <f t="shared" ref="AI19:AI50" si="64">AA19*$AH$2</f>
        <v>0</v>
      </c>
      <c r="AJ19" s="61">
        <f t="shared" ref="AJ19:AJ50" si="65">AA19*$AI$2</f>
        <v>0</v>
      </c>
      <c r="AK19" s="61">
        <f t="shared" ref="AK19:AK50" si="66">AA19*$AJ$2</f>
        <v>0</v>
      </c>
      <c r="AL19" s="61">
        <f t="shared" ref="AL19:AL50" si="67">AA19*$AK$2</f>
        <v>0</v>
      </c>
      <c r="AM19" s="62">
        <f>IF((SUM(AA19:AE19)/2)=0,0,(((((SUM(AA19:AE19)/2)-(VLOOKUP((SUM(AA19:AE19)/2),'[1]Tablas ISR'!$A$4:$D$14,1,TRUE)))*(VLOOKUP((SUM(AA19:AE19)/2),'[1]Tablas ISR'!$A$4:$D$14,4,TRUE)))/100)+(VLOOKUP((SUM(AA19:AE19)/2),'[1]Tablas ISR'!$A$4:$D$14,3,TRUE)))*2)</f>
        <v>0</v>
      </c>
      <c r="AN19" s="63">
        <f t="shared" ref="AN19:AN50" si="68">AA19*$AM$2</f>
        <v>0</v>
      </c>
      <c r="AO19" s="61">
        <f t="shared" ref="AO19:AO50" si="69">AA19/2</f>
        <v>0</v>
      </c>
      <c r="AP19" s="61">
        <f t="shared" ref="AP19:AP50" si="70">AB19/2</f>
        <v>0</v>
      </c>
      <c r="AQ19" s="61">
        <f t="shared" ref="AQ19:AQ50" si="71">AC19/2</f>
        <v>0</v>
      </c>
      <c r="AR19" s="61">
        <f t="shared" ref="AR19:AR50" si="72">AD19/2</f>
        <v>0</v>
      </c>
      <c r="AS19" s="61">
        <f t="shared" ref="AS19:AS50" si="73">AE19/2</f>
        <v>0</v>
      </c>
      <c r="AT19" s="61">
        <f t="shared" ref="AT19:AT50" si="74">AI19/2</f>
        <v>0</v>
      </c>
      <c r="AU19" s="61">
        <f t="shared" ref="AU19:AU50" si="75">AJ19/2</f>
        <v>0</v>
      </c>
      <c r="AV19" s="61">
        <f t="shared" ref="AV19:AV50" si="76">AL19/2</f>
        <v>0</v>
      </c>
      <c r="AW19" s="64">
        <f t="shared" ref="AW19:AW50" si="77">(AA19+AB19+AC19+AD19+AE19-AM19-AN19)/2</f>
        <v>0</v>
      </c>
      <c r="AX19" s="5">
        <f t="shared" ref="AX19:AX50" si="78">AA19/30</f>
        <v>0</v>
      </c>
      <c r="AY19" s="5">
        <f t="shared" ref="AY19:AY50" si="79">AB19/30</f>
        <v>0</v>
      </c>
      <c r="AZ19" s="5">
        <f t="shared" ref="AZ19:AZ50" si="80">AC19/30</f>
        <v>0</v>
      </c>
      <c r="BA19" s="5">
        <f t="shared" ref="BA19:BA50" si="81">AD19/30</f>
        <v>0</v>
      </c>
      <c r="BB19" s="5">
        <f t="shared" ref="BB19:BB50" si="82">AE19/30</f>
        <v>0</v>
      </c>
      <c r="BC19" s="5">
        <f t="shared" ref="BC19:BC50" si="83">AF19/365</f>
        <v>0</v>
      </c>
      <c r="BD19" s="5">
        <f t="shared" ref="BD19:BD50" si="84">AG19/365</f>
        <v>0</v>
      </c>
      <c r="BE19" s="5">
        <f t="shared" ref="BE19:BE50" si="85">AH19/365</f>
        <v>0</v>
      </c>
      <c r="BF19" s="5">
        <f t="shared" ref="BF19:BF50" si="86">AI19/30</f>
        <v>0</v>
      </c>
      <c r="BG19" s="5">
        <f t="shared" ref="BG19:BG50" si="87">AJ19/30</f>
        <v>0</v>
      </c>
      <c r="BH19" s="5">
        <f t="shared" ref="BH19:BH50" si="88">AK19/30</f>
        <v>0</v>
      </c>
      <c r="BI19" s="5">
        <f t="shared" ref="BI19:BI50" si="89">AL19/30</f>
        <v>0</v>
      </c>
      <c r="BJ19" s="5">
        <f t="shared" ref="BJ19:BJ50" si="90">AX19*30</f>
        <v>0</v>
      </c>
      <c r="BK19" s="5">
        <f t="shared" ref="BK19:BK50" si="91">AY19*30</f>
        <v>0</v>
      </c>
      <c r="BL19" s="5">
        <f t="shared" ref="BL19:BL50" si="92">AZ19*30</f>
        <v>0</v>
      </c>
      <c r="BM19" s="5">
        <f t="shared" ref="BM19:BM50" si="93">BA19*30</f>
        <v>0</v>
      </c>
      <c r="BN19" s="5">
        <f t="shared" ref="BN19:BN50" si="94">BB19*30</f>
        <v>0</v>
      </c>
      <c r="BO19" s="5">
        <f t="shared" ref="BO19:BO50" si="95">AF19/12</f>
        <v>0</v>
      </c>
      <c r="BP19" s="5">
        <f t="shared" ref="BP19:BP50" si="96">AG19/12</f>
        <v>0</v>
      </c>
      <c r="BQ19" s="5">
        <f t="shared" ref="BQ19:BQ50" si="97">AH19/12</f>
        <v>0</v>
      </c>
      <c r="BR19" s="5">
        <f t="shared" ref="BR19:BR50" si="98">BF19*30</f>
        <v>0</v>
      </c>
      <c r="BS19" s="5">
        <f t="shared" ref="BS19:BS50" si="99">BG19*30</f>
        <v>0</v>
      </c>
      <c r="BT19" s="5">
        <f t="shared" ref="BT19:BT50" si="100">BH19*30</f>
        <v>0</v>
      </c>
      <c r="BU19" s="5">
        <f t="shared" ref="BU19:BU50" si="101">BI19*30</f>
        <v>0</v>
      </c>
      <c r="BV19" s="65">
        <f t="shared" si="50"/>
        <v>0</v>
      </c>
      <c r="BW19" s="65">
        <f t="shared" si="51"/>
        <v>0</v>
      </c>
      <c r="BX19" s="65">
        <f t="shared" si="52"/>
        <v>0</v>
      </c>
      <c r="BY19" s="65">
        <f t="shared" si="53"/>
        <v>0</v>
      </c>
      <c r="BZ19" s="65">
        <f t="shared" si="54"/>
        <v>0</v>
      </c>
      <c r="CA19" s="65">
        <f t="shared" si="55"/>
        <v>0</v>
      </c>
      <c r="CB19" s="65">
        <f t="shared" si="56"/>
        <v>0</v>
      </c>
      <c r="CC19" s="65">
        <f t="shared" si="57"/>
        <v>0</v>
      </c>
      <c r="CD19" s="65">
        <f t="shared" si="58"/>
        <v>0</v>
      </c>
      <c r="CE19" s="65">
        <f t="shared" si="59"/>
        <v>0</v>
      </c>
      <c r="CF19" s="65">
        <f t="shared" si="60"/>
        <v>0</v>
      </c>
      <c r="CG19" s="65">
        <f t="shared" si="61"/>
        <v>0</v>
      </c>
      <c r="CH19" s="66">
        <f t="shared" si="62"/>
        <v>0</v>
      </c>
      <c r="CI19" s="67"/>
      <c r="CJ19" s="67"/>
      <c r="CK19" s="67"/>
      <c r="CL19" s="67"/>
      <c r="CM19" s="67"/>
      <c r="CN19" s="67"/>
      <c r="CO19" s="67"/>
      <c r="CP19" s="67"/>
    </row>
    <row r="20" spans="1:94" ht="27" customHeight="1" x14ac:dyDescent="0.2">
      <c r="A20" s="8">
        <v>16</v>
      </c>
      <c r="B20" s="8">
        <v>354</v>
      </c>
      <c r="C20" s="43" t="s">
        <v>201</v>
      </c>
      <c r="D20" s="44" t="str">
        <f t="shared" si="0"/>
        <v>Corona</v>
      </c>
      <c r="E20" s="44" t="str">
        <f t="shared" si="1"/>
        <v xml:space="preserve">Gomez </v>
      </c>
      <c r="F20" s="44" t="str">
        <f t="shared" si="2"/>
        <v>Rosa Cristina</v>
      </c>
      <c r="G20" s="8">
        <v>4</v>
      </c>
      <c r="H20" s="8" t="s">
        <v>200</v>
      </c>
      <c r="I20" s="45" t="s">
        <v>199</v>
      </c>
      <c r="J20" s="45" t="s">
        <v>173</v>
      </c>
      <c r="K20" s="46" t="s">
        <v>23</v>
      </c>
      <c r="L20" s="46" t="s">
        <v>17</v>
      </c>
      <c r="M20" s="46" t="s">
        <v>11</v>
      </c>
      <c r="N20" s="47" t="str">
        <f>IF(H20&gt;0,MID(H20,9,2)&amp;"/"&amp;MID(H20,7,2)&amp;"/"&amp;MID(H20,5,2),0)</f>
        <v>24/07/81</v>
      </c>
      <c r="O20" s="48">
        <f t="shared" ca="1" si="3"/>
        <v>36</v>
      </c>
      <c r="P20" s="1">
        <v>41928</v>
      </c>
      <c r="Q20" s="2" t="str">
        <f t="shared" si="4"/>
        <v>4 años, 2 meses, 15 dias.</v>
      </c>
      <c r="R20" s="2">
        <f t="shared" si="5"/>
        <v>4</v>
      </c>
      <c r="S20" s="2">
        <f t="shared" si="6"/>
        <v>50</v>
      </c>
      <c r="T20" s="2">
        <f t="shared" si="7"/>
        <v>1537</v>
      </c>
      <c r="U20" s="46" t="s">
        <v>90</v>
      </c>
      <c r="V20" s="46">
        <v>23</v>
      </c>
      <c r="W20" s="46" t="s">
        <v>16</v>
      </c>
      <c r="X20" s="46">
        <v>40</v>
      </c>
      <c r="Y20" s="46" t="s">
        <v>15</v>
      </c>
      <c r="Z20" s="46" t="s">
        <v>1</v>
      </c>
      <c r="AA20" s="49">
        <f>IF(C20="Plaza sin presupuesto",0,IF(W20="si",IF(X20=30,VLOOKUP(V20,'[1]Tablas despensa y pasaje 2018'!$A$3:$I$38,2,0),IF(PLANTILLA!X20=40,VLOOKUP(PLANTILLA!V20,'[1]Tablas despensa y pasaje 2018'!$A$3:$I$38,6,0))),IF(X20=30,VLOOKUP(V20,'[1]Tablas despensa y pasaje 2018'!$A$41:$I$48,2,0),IF(X20=40,VLOOKUP(V20,'[1]Tablas despensa y pasaje 2018'!$A$41:$I$48,6,0),0))))</f>
        <v>38208</v>
      </c>
      <c r="AB20" s="49">
        <f>IF(C20="Plaza sin presupuesto",0,IF(W20="si",IF(X20=30,VLOOKUP(V20,'[1]Tablas despensa y pasaje 2018'!$A$3:$I$38,3,0),IF(PLANTILLA!X20=40,VLOOKUP(PLANTILLA!V20,'[1]Tablas despensa y pasaje 2018'!$A$3:$I$38,7,0))),IF(X20=30,VLOOKUP(V20,'[1]Tablas despensa y pasaje 2018'!$A$41:$I$48,3,0),IF(X20=40,VLOOKUP(V20,'[1]Tablas despensa y pasaje 2018'!$A$41:$I$48,7,0),0))))</f>
        <v>1808</v>
      </c>
      <c r="AC20" s="49">
        <f>IF(C20="Plaza sin presupuesto",0,IF(W20="si",IF(X20=30,VLOOKUP(V20,'[1]Tablas despensa y pasaje 2018'!$A$3:$I$38,4,0),IF(PLANTILLA!X20=40,VLOOKUP(PLANTILLA!V20,'[1]Tablas despensa y pasaje 2018'!$A$3:$I$38,8,0))),IF(X20=30,VLOOKUP(V20,'[1]Tablas despensa y pasaje 2018'!$A$41:$I$48,4,0),IF(X20=40,VLOOKUP(V20,'[1]Tablas despensa y pasaje 2018'!$A$41:$I$48,8,0),0))))</f>
        <v>1299</v>
      </c>
      <c r="AD20" s="49">
        <f t="shared" si="8"/>
        <v>0</v>
      </c>
      <c r="AE20" s="49">
        <f t="shared" si="9"/>
        <v>0</v>
      </c>
      <c r="AF20" s="49">
        <f t="shared" si="63"/>
        <v>19104</v>
      </c>
      <c r="AG20" s="49">
        <f t="shared" si="10"/>
        <v>63679.999999999993</v>
      </c>
      <c r="AH20" s="49">
        <f t="shared" si="11"/>
        <v>6368</v>
      </c>
      <c r="AI20" s="49">
        <f t="shared" si="64"/>
        <v>6686.4</v>
      </c>
      <c r="AJ20" s="49">
        <f t="shared" si="65"/>
        <v>1146.24</v>
      </c>
      <c r="AK20" s="49">
        <f t="shared" si="66"/>
        <v>764.16</v>
      </c>
      <c r="AL20" s="49">
        <f t="shared" si="67"/>
        <v>1833.9840000000002</v>
      </c>
      <c r="AM20" s="50">
        <f>IF((SUM(AA20:AE20)/2)=0,0,(((((SUM(AA20:AE20)/2)-(VLOOKUP((SUM(AA20:AE20)/2),'[1]Tablas ISR'!$A$4:$D$14,1,TRUE)))*(VLOOKUP((SUM(AA20:AE20)/2),'[1]Tablas ISR'!$A$4:$D$14,4,TRUE)))/100)+(VLOOKUP((SUM(AA20:AE20)/2),'[1]Tablas ISR'!$A$4:$D$14,3,TRUE)))*2)</f>
        <v>8160.4440000000013</v>
      </c>
      <c r="AN20" s="51">
        <f t="shared" si="68"/>
        <v>4393.92</v>
      </c>
      <c r="AO20" s="49">
        <f t="shared" si="69"/>
        <v>19104</v>
      </c>
      <c r="AP20" s="49">
        <f t="shared" si="70"/>
        <v>904</v>
      </c>
      <c r="AQ20" s="49">
        <f t="shared" si="71"/>
        <v>649.5</v>
      </c>
      <c r="AR20" s="49">
        <f t="shared" si="72"/>
        <v>0</v>
      </c>
      <c r="AS20" s="49">
        <f t="shared" si="73"/>
        <v>0</v>
      </c>
      <c r="AT20" s="49">
        <f t="shared" si="74"/>
        <v>3343.2</v>
      </c>
      <c r="AU20" s="49">
        <f t="shared" si="75"/>
        <v>573.12</v>
      </c>
      <c r="AV20" s="49">
        <f t="shared" si="76"/>
        <v>916.99200000000008</v>
      </c>
      <c r="AW20" s="52">
        <f t="shared" si="77"/>
        <v>14380.317999999999</v>
      </c>
      <c r="AX20" s="3">
        <f t="shared" si="78"/>
        <v>1273.5999999999999</v>
      </c>
      <c r="AY20" s="3">
        <f t="shared" si="79"/>
        <v>60.266666666666666</v>
      </c>
      <c r="AZ20" s="3">
        <f t="shared" si="80"/>
        <v>43.3</v>
      </c>
      <c r="BA20" s="3">
        <f t="shared" si="81"/>
        <v>0</v>
      </c>
      <c r="BB20" s="3">
        <f t="shared" si="82"/>
        <v>0</v>
      </c>
      <c r="BC20" s="3">
        <f t="shared" si="83"/>
        <v>52.339726027397262</v>
      </c>
      <c r="BD20" s="3">
        <f t="shared" si="84"/>
        <v>174.46575342465752</v>
      </c>
      <c r="BE20" s="3">
        <f t="shared" si="85"/>
        <v>17.446575342465753</v>
      </c>
      <c r="BF20" s="3">
        <f t="shared" si="86"/>
        <v>222.88</v>
      </c>
      <c r="BG20" s="3">
        <f t="shared" si="87"/>
        <v>38.207999999999998</v>
      </c>
      <c r="BH20" s="3">
        <f t="shared" si="88"/>
        <v>25.471999999999998</v>
      </c>
      <c r="BI20" s="3">
        <f t="shared" si="89"/>
        <v>61.132800000000003</v>
      </c>
      <c r="BJ20" s="3">
        <f t="shared" si="90"/>
        <v>38208</v>
      </c>
      <c r="BK20" s="3">
        <f t="shared" si="91"/>
        <v>1808</v>
      </c>
      <c r="BL20" s="3">
        <f t="shared" si="92"/>
        <v>1299</v>
      </c>
      <c r="BM20" s="3">
        <f t="shared" si="93"/>
        <v>0</v>
      </c>
      <c r="BN20" s="3">
        <f t="shared" si="94"/>
        <v>0</v>
      </c>
      <c r="BO20" s="3">
        <f t="shared" si="95"/>
        <v>1592</v>
      </c>
      <c r="BP20" s="3">
        <f t="shared" si="96"/>
        <v>5306.6666666666661</v>
      </c>
      <c r="BQ20" s="3">
        <f t="shared" si="97"/>
        <v>530.66666666666663</v>
      </c>
      <c r="BR20" s="3">
        <f t="shared" si="98"/>
        <v>6686.4</v>
      </c>
      <c r="BS20" s="3">
        <f t="shared" si="99"/>
        <v>1146.24</v>
      </c>
      <c r="BT20" s="3">
        <f t="shared" si="100"/>
        <v>764.16</v>
      </c>
      <c r="BU20" s="3">
        <f t="shared" si="101"/>
        <v>1833.9840000000002</v>
      </c>
      <c r="BV20" s="53">
        <f t="shared" si="50"/>
        <v>458496</v>
      </c>
      <c r="BW20" s="53">
        <f t="shared" si="51"/>
        <v>21696</v>
      </c>
      <c r="BX20" s="53">
        <f t="shared" si="52"/>
        <v>15588</v>
      </c>
      <c r="BY20" s="53">
        <f t="shared" si="53"/>
        <v>0</v>
      </c>
      <c r="BZ20" s="53">
        <f t="shared" si="54"/>
        <v>0</v>
      </c>
      <c r="CA20" s="53">
        <f t="shared" si="55"/>
        <v>19104</v>
      </c>
      <c r="CB20" s="53">
        <f t="shared" si="56"/>
        <v>63679.999999999993</v>
      </c>
      <c r="CC20" s="53">
        <f t="shared" si="57"/>
        <v>6368</v>
      </c>
      <c r="CD20" s="53">
        <f t="shared" si="58"/>
        <v>80236.799999999988</v>
      </c>
      <c r="CE20" s="53">
        <f t="shared" si="59"/>
        <v>13754.880000000001</v>
      </c>
      <c r="CF20" s="53">
        <f t="shared" si="60"/>
        <v>9169.92</v>
      </c>
      <c r="CG20" s="53">
        <f t="shared" si="61"/>
        <v>22007.808000000001</v>
      </c>
      <c r="CH20" s="54">
        <f t="shared" si="62"/>
        <v>710101.40800000005</v>
      </c>
      <c r="CI20" s="46"/>
      <c r="CJ20" s="46"/>
      <c r="CK20" s="46"/>
      <c r="CL20" s="46"/>
      <c r="CM20" s="46"/>
      <c r="CN20" s="46"/>
      <c r="CO20" s="46"/>
      <c r="CP20" s="46"/>
    </row>
    <row r="21" spans="1:94" ht="27" customHeight="1" x14ac:dyDescent="0.2">
      <c r="A21" s="8">
        <v>17</v>
      </c>
      <c r="B21" s="8">
        <v>914</v>
      </c>
      <c r="C21" s="43" t="s">
        <v>198</v>
      </c>
      <c r="D21" s="44" t="str">
        <f t="shared" si="0"/>
        <v>Campos</v>
      </c>
      <c r="E21" s="44" t="str">
        <f t="shared" si="1"/>
        <v xml:space="preserve">Gutierrez </v>
      </c>
      <c r="F21" s="44" t="str">
        <f t="shared" si="2"/>
        <v>Jose Ramon</v>
      </c>
      <c r="G21" s="8">
        <v>4</v>
      </c>
      <c r="H21" s="8" t="s">
        <v>197</v>
      </c>
      <c r="I21" s="45" t="s">
        <v>196</v>
      </c>
      <c r="J21" s="45" t="s">
        <v>173</v>
      </c>
      <c r="K21" s="46" t="s">
        <v>12</v>
      </c>
      <c r="L21" s="46" t="s">
        <v>5</v>
      </c>
      <c r="M21" s="46" t="s">
        <v>11</v>
      </c>
      <c r="N21" s="47" t="str">
        <f>IF(H21&gt;0,MID(H21,9,2)&amp;"/"&amp;MID(H21,7,2)&amp;"/"&amp;MID(H21,5,2),0)</f>
        <v>16/02/84</v>
      </c>
      <c r="O21" s="48">
        <f t="shared" ca="1" si="3"/>
        <v>33</v>
      </c>
      <c r="P21" s="1">
        <v>39264</v>
      </c>
      <c r="Q21" s="2" t="str">
        <f t="shared" si="4"/>
        <v>11 años, 5 meses, 30 dias.</v>
      </c>
      <c r="R21" s="2">
        <f t="shared" si="5"/>
        <v>11</v>
      </c>
      <c r="S21" s="2">
        <f t="shared" si="6"/>
        <v>137</v>
      </c>
      <c r="T21" s="2">
        <f t="shared" si="7"/>
        <v>4201</v>
      </c>
      <c r="U21" s="46" t="s">
        <v>90</v>
      </c>
      <c r="V21" s="46">
        <v>18</v>
      </c>
      <c r="W21" s="46" t="s">
        <v>16</v>
      </c>
      <c r="X21" s="46">
        <v>40</v>
      </c>
      <c r="Y21" s="46" t="s">
        <v>15</v>
      </c>
      <c r="Z21" s="46" t="s">
        <v>1</v>
      </c>
      <c r="AA21" s="49">
        <f>IF(C21="Plaza sin presupuesto",0,IF(W21="si",IF(X21=30,VLOOKUP(V21,'[1]Tablas despensa y pasaje 2018'!$A$3:$I$38,2,0),IF(PLANTILLA!X21=40,VLOOKUP(PLANTILLA!V21,'[1]Tablas despensa y pasaje 2018'!$A$3:$I$38,6,0))),IF(X21=30,VLOOKUP(V21,'[1]Tablas despensa y pasaje 2018'!$A$41:$I$48,2,0),IF(X21=40,VLOOKUP(V21,'[1]Tablas despensa y pasaje 2018'!$A$41:$I$48,6,0),0))))</f>
        <v>22186</v>
      </c>
      <c r="AB21" s="49">
        <f>IF(C21="Plaza sin presupuesto",0,IF(W21="si",IF(X21=30,VLOOKUP(V21,'[1]Tablas despensa y pasaje 2018'!$A$3:$I$38,3,0),IF(PLANTILLA!X21=40,VLOOKUP(PLANTILLA!V21,'[1]Tablas despensa y pasaje 2018'!$A$3:$I$38,7,0))),IF(X21=30,VLOOKUP(V21,'[1]Tablas despensa y pasaje 2018'!$A$41:$I$48,3,0),IF(X21=40,VLOOKUP(V21,'[1]Tablas despensa y pasaje 2018'!$A$41:$I$48,7,0),0))))</f>
        <v>1465</v>
      </c>
      <c r="AC21" s="49">
        <f>IF(C21="Plaza sin presupuesto",0,IF(W21="si",IF(X21=30,VLOOKUP(V21,'[1]Tablas despensa y pasaje 2018'!$A$3:$I$38,4,0),IF(PLANTILLA!X21=40,VLOOKUP(PLANTILLA!V21,'[1]Tablas despensa y pasaje 2018'!$A$3:$I$38,8,0))),IF(X21=30,VLOOKUP(V21,'[1]Tablas despensa y pasaje 2018'!$A$41:$I$48,4,0),IF(X21=40,VLOOKUP(V21,'[1]Tablas despensa y pasaje 2018'!$A$41:$I$48,8,0),0))))</f>
        <v>987</v>
      </c>
      <c r="AD21" s="49">
        <f t="shared" si="8"/>
        <v>0</v>
      </c>
      <c r="AE21" s="49">
        <f t="shared" si="9"/>
        <v>265.08</v>
      </c>
      <c r="AF21" s="49">
        <f t="shared" si="63"/>
        <v>11093</v>
      </c>
      <c r="AG21" s="49">
        <f t="shared" si="10"/>
        <v>36976.666666666664</v>
      </c>
      <c r="AH21" s="49">
        <f t="shared" si="11"/>
        <v>3697.6666666666665</v>
      </c>
      <c r="AI21" s="49">
        <f t="shared" si="64"/>
        <v>3882.5499999999997</v>
      </c>
      <c r="AJ21" s="49">
        <f t="shared" si="65"/>
        <v>665.57999999999993</v>
      </c>
      <c r="AK21" s="49">
        <f t="shared" si="66"/>
        <v>443.72</v>
      </c>
      <c r="AL21" s="49">
        <f t="shared" si="67"/>
        <v>1064.9280000000001</v>
      </c>
      <c r="AM21" s="50">
        <f>IF((SUM(AA21:AE21)/2)=0,0,(((((SUM(AA21:AE21)/2)-(VLOOKUP((SUM(AA21:AE21)/2),'[1]Tablas ISR'!$A$4:$D$14,1,TRUE)))*(VLOOKUP((SUM(AA21:AE21)/2),'[1]Tablas ISR'!$A$4:$D$14,4,TRUE)))/100)+(VLOOKUP((SUM(AA21:AE21)/2),'[1]Tablas ISR'!$A$4:$D$14,3,TRUE)))*2)</f>
        <v>4064.5494720000002</v>
      </c>
      <c r="AN21" s="51">
        <f t="shared" si="68"/>
        <v>2551.3900000000003</v>
      </c>
      <c r="AO21" s="49">
        <f t="shared" si="69"/>
        <v>11093</v>
      </c>
      <c r="AP21" s="49">
        <f t="shared" si="70"/>
        <v>732.5</v>
      </c>
      <c r="AQ21" s="49">
        <f t="shared" si="71"/>
        <v>493.5</v>
      </c>
      <c r="AR21" s="49">
        <f t="shared" si="72"/>
        <v>0</v>
      </c>
      <c r="AS21" s="49">
        <f t="shared" si="73"/>
        <v>132.54</v>
      </c>
      <c r="AT21" s="49">
        <f t="shared" si="74"/>
        <v>1941.2749999999999</v>
      </c>
      <c r="AU21" s="49">
        <f t="shared" si="75"/>
        <v>332.78999999999996</v>
      </c>
      <c r="AV21" s="49">
        <f t="shared" si="76"/>
        <v>532.46400000000006</v>
      </c>
      <c r="AW21" s="52">
        <f t="shared" si="77"/>
        <v>9143.5702640000018</v>
      </c>
      <c r="AX21" s="3">
        <f t="shared" si="78"/>
        <v>739.5333333333333</v>
      </c>
      <c r="AY21" s="3">
        <f t="shared" si="79"/>
        <v>48.833333333333336</v>
      </c>
      <c r="AZ21" s="3">
        <f t="shared" si="80"/>
        <v>32.9</v>
      </c>
      <c r="BA21" s="3">
        <f t="shared" si="81"/>
        <v>0</v>
      </c>
      <c r="BB21" s="3">
        <f t="shared" si="82"/>
        <v>8.8360000000000003</v>
      </c>
      <c r="BC21" s="3">
        <f t="shared" si="83"/>
        <v>30.391780821917809</v>
      </c>
      <c r="BD21" s="3">
        <f t="shared" si="84"/>
        <v>101.30593607305936</v>
      </c>
      <c r="BE21" s="3">
        <f t="shared" si="85"/>
        <v>10.130593607305936</v>
      </c>
      <c r="BF21" s="3">
        <f t="shared" si="86"/>
        <v>129.41833333333332</v>
      </c>
      <c r="BG21" s="3">
        <f t="shared" si="87"/>
        <v>22.185999999999996</v>
      </c>
      <c r="BH21" s="3">
        <f t="shared" si="88"/>
        <v>14.790666666666668</v>
      </c>
      <c r="BI21" s="3">
        <f t="shared" si="89"/>
        <v>35.497600000000006</v>
      </c>
      <c r="BJ21" s="3">
        <f t="shared" si="90"/>
        <v>22186</v>
      </c>
      <c r="BK21" s="3">
        <f t="shared" si="91"/>
        <v>1465</v>
      </c>
      <c r="BL21" s="3">
        <f t="shared" si="92"/>
        <v>987</v>
      </c>
      <c r="BM21" s="3">
        <f t="shared" si="93"/>
        <v>0</v>
      </c>
      <c r="BN21" s="3">
        <f t="shared" si="94"/>
        <v>265.08</v>
      </c>
      <c r="BO21" s="3">
        <f t="shared" si="95"/>
        <v>924.41666666666663</v>
      </c>
      <c r="BP21" s="3">
        <f t="shared" si="96"/>
        <v>3081.3888888888887</v>
      </c>
      <c r="BQ21" s="3">
        <f t="shared" si="97"/>
        <v>308.13888888888886</v>
      </c>
      <c r="BR21" s="3">
        <f t="shared" si="98"/>
        <v>3882.5499999999997</v>
      </c>
      <c r="BS21" s="3">
        <f t="shared" si="99"/>
        <v>665.57999999999993</v>
      </c>
      <c r="BT21" s="3">
        <f t="shared" si="100"/>
        <v>443.72</v>
      </c>
      <c r="BU21" s="3">
        <f t="shared" si="101"/>
        <v>1064.9280000000001</v>
      </c>
      <c r="BV21" s="53">
        <f t="shared" si="50"/>
        <v>266232</v>
      </c>
      <c r="BW21" s="53">
        <f t="shared" si="51"/>
        <v>17580</v>
      </c>
      <c r="BX21" s="53">
        <f t="shared" si="52"/>
        <v>11844</v>
      </c>
      <c r="BY21" s="53">
        <f t="shared" si="53"/>
        <v>0</v>
      </c>
      <c r="BZ21" s="53">
        <f t="shared" si="54"/>
        <v>3180.96</v>
      </c>
      <c r="CA21" s="53">
        <f t="shared" si="55"/>
        <v>11093</v>
      </c>
      <c r="CB21" s="53">
        <f t="shared" si="56"/>
        <v>36976.666666666664</v>
      </c>
      <c r="CC21" s="53">
        <f t="shared" si="57"/>
        <v>3697.6666666666665</v>
      </c>
      <c r="CD21" s="53">
        <f t="shared" si="58"/>
        <v>46590.6</v>
      </c>
      <c r="CE21" s="53">
        <f t="shared" si="59"/>
        <v>7986.9599999999991</v>
      </c>
      <c r="CF21" s="53">
        <f t="shared" si="60"/>
        <v>5324.64</v>
      </c>
      <c r="CG21" s="53">
        <f t="shared" si="61"/>
        <v>12779.136000000002</v>
      </c>
      <c r="CH21" s="54">
        <f t="shared" si="62"/>
        <v>423285.6293333334</v>
      </c>
      <c r="CI21" s="46"/>
      <c r="CJ21" s="46"/>
      <c r="CK21" s="46"/>
      <c r="CL21" s="46"/>
      <c r="CM21" s="46"/>
      <c r="CN21" s="46"/>
      <c r="CO21" s="46"/>
      <c r="CP21" s="46"/>
    </row>
    <row r="22" spans="1:94" ht="27" customHeight="1" x14ac:dyDescent="0.2">
      <c r="A22" s="8">
        <v>18</v>
      </c>
      <c r="B22" s="8">
        <v>355</v>
      </c>
      <c r="C22" s="43" t="s">
        <v>195</v>
      </c>
      <c r="D22" s="44" t="str">
        <f t="shared" si="0"/>
        <v>Espinosa</v>
      </c>
      <c r="E22" s="44" t="str">
        <f t="shared" si="1"/>
        <v xml:space="preserve">Valdez </v>
      </c>
      <c r="F22" s="44" t="str">
        <f t="shared" si="2"/>
        <v>Bertha Ninemi</v>
      </c>
      <c r="G22" s="8">
        <v>4</v>
      </c>
      <c r="H22" s="8" t="s">
        <v>194</v>
      </c>
      <c r="I22" s="45" t="s">
        <v>193</v>
      </c>
      <c r="J22" s="45" t="s">
        <v>173</v>
      </c>
      <c r="K22" s="46" t="s">
        <v>12</v>
      </c>
      <c r="L22" s="46" t="s">
        <v>17</v>
      </c>
      <c r="M22" s="46" t="s">
        <v>22</v>
      </c>
      <c r="N22" s="47" t="str">
        <f>IF(H22&gt;0,MID(H22,9,2)&amp;"/"&amp;MID(H22,7,2)&amp;"/"&amp;MID(H22,5,2),0)</f>
        <v>18/04/70</v>
      </c>
      <c r="O22" s="48">
        <f t="shared" ca="1" si="3"/>
        <v>47</v>
      </c>
      <c r="P22" s="1">
        <v>34409</v>
      </c>
      <c r="Q22" s="2" t="str">
        <f t="shared" si="4"/>
        <v>24 años, 9 meses, 15 dias.</v>
      </c>
      <c r="R22" s="2">
        <f t="shared" si="5"/>
        <v>24</v>
      </c>
      <c r="S22" s="2">
        <f t="shared" si="6"/>
        <v>297</v>
      </c>
      <c r="T22" s="2">
        <f t="shared" si="7"/>
        <v>9056</v>
      </c>
      <c r="U22" s="46" t="s">
        <v>90</v>
      </c>
      <c r="V22" s="46">
        <v>16</v>
      </c>
      <c r="W22" s="46" t="s">
        <v>16</v>
      </c>
      <c r="X22" s="46">
        <v>40</v>
      </c>
      <c r="Y22" s="46" t="s">
        <v>15</v>
      </c>
      <c r="Z22" s="46" t="s">
        <v>1</v>
      </c>
      <c r="AA22" s="49">
        <f>IF(C22="Plaza sin presupuesto",0,IF(W22="si",IF(X22=30,VLOOKUP(V22,'[1]Tablas despensa y pasaje 2018'!$A$3:$I$38,2,0),IF(PLANTILLA!X22=40,VLOOKUP(PLANTILLA!V22,'[1]Tablas despensa y pasaje 2018'!$A$3:$I$38,6,0))),IF(X22=30,VLOOKUP(V22,'[1]Tablas despensa y pasaje 2018'!$A$41:$I$48,2,0),IF(X22=40,VLOOKUP(V22,'[1]Tablas despensa y pasaje 2018'!$A$41:$I$48,6,0),0))))</f>
        <v>17213</v>
      </c>
      <c r="AB22" s="49">
        <f>IF(C22="Plaza sin presupuesto",0,IF(W22="si",IF(X22=30,VLOOKUP(V22,'[1]Tablas despensa y pasaje 2018'!$A$3:$I$38,3,0),IF(PLANTILLA!X22=40,VLOOKUP(PLANTILLA!V22,'[1]Tablas despensa y pasaje 2018'!$A$3:$I$38,7,0))),IF(X22=30,VLOOKUP(V22,'[1]Tablas despensa y pasaje 2018'!$A$41:$I$48,3,0),IF(X22=40,VLOOKUP(V22,'[1]Tablas despensa y pasaje 2018'!$A$41:$I$48,7,0),0))))</f>
        <v>1247</v>
      </c>
      <c r="AC22" s="49">
        <f>IF(C22="Plaza sin presupuesto",0,IF(W22="si",IF(X22=30,VLOOKUP(V22,'[1]Tablas despensa y pasaje 2018'!$A$3:$I$38,4,0),IF(PLANTILLA!X22=40,VLOOKUP(PLANTILLA!V22,'[1]Tablas despensa y pasaje 2018'!$A$3:$I$38,8,0))),IF(X22=30,VLOOKUP(V22,'[1]Tablas despensa y pasaje 2018'!$A$41:$I$48,4,0),IF(X22=40,VLOOKUP(V22,'[1]Tablas despensa y pasaje 2018'!$A$41:$I$48,8,0),0))))</f>
        <v>779</v>
      </c>
      <c r="AD22" s="49">
        <f t="shared" si="8"/>
        <v>0</v>
      </c>
      <c r="AE22" s="49">
        <f t="shared" si="9"/>
        <v>441.8</v>
      </c>
      <c r="AF22" s="49">
        <f t="shared" si="63"/>
        <v>8606.5</v>
      </c>
      <c r="AG22" s="49">
        <f t="shared" si="10"/>
        <v>28688.333333333332</v>
      </c>
      <c r="AH22" s="49">
        <f t="shared" si="11"/>
        <v>2868.833333333333</v>
      </c>
      <c r="AI22" s="49">
        <f t="shared" si="64"/>
        <v>3012.2749999999996</v>
      </c>
      <c r="AJ22" s="49">
        <f t="shared" si="65"/>
        <v>516.39</v>
      </c>
      <c r="AK22" s="49">
        <f t="shared" si="66"/>
        <v>344.26</v>
      </c>
      <c r="AL22" s="49">
        <f t="shared" si="67"/>
        <v>826.22400000000005</v>
      </c>
      <c r="AM22" s="50">
        <f>IF((SUM(AA22:AE22)/2)=0,0,(((((SUM(AA22:AE22)/2)-(VLOOKUP((SUM(AA22:AE22)/2),'[1]Tablas ISR'!$A$4:$D$14,1,TRUE)))*(VLOOKUP((SUM(AA22:AE22)/2),'[1]Tablas ISR'!$A$4:$D$14,4,TRUE)))/100)+(VLOOKUP((SUM(AA22:AE22)/2),'[1]Tablas ISR'!$A$4:$D$14,3,TRUE)))*2)</f>
        <v>2927.4701279999999</v>
      </c>
      <c r="AN22" s="51">
        <f t="shared" si="68"/>
        <v>1979.4950000000001</v>
      </c>
      <c r="AO22" s="49">
        <f t="shared" si="69"/>
        <v>8606.5</v>
      </c>
      <c r="AP22" s="49">
        <f t="shared" si="70"/>
        <v>623.5</v>
      </c>
      <c r="AQ22" s="49">
        <f t="shared" si="71"/>
        <v>389.5</v>
      </c>
      <c r="AR22" s="49">
        <f t="shared" si="72"/>
        <v>0</v>
      </c>
      <c r="AS22" s="49">
        <f t="shared" si="73"/>
        <v>220.9</v>
      </c>
      <c r="AT22" s="49">
        <f t="shared" si="74"/>
        <v>1506.1374999999998</v>
      </c>
      <c r="AU22" s="49">
        <f t="shared" si="75"/>
        <v>258.19499999999999</v>
      </c>
      <c r="AV22" s="49">
        <f t="shared" si="76"/>
        <v>413.11200000000002</v>
      </c>
      <c r="AW22" s="52">
        <f t="shared" si="77"/>
        <v>7386.9174359999988</v>
      </c>
      <c r="AX22" s="3">
        <f t="shared" si="78"/>
        <v>573.76666666666665</v>
      </c>
      <c r="AY22" s="3">
        <f t="shared" si="79"/>
        <v>41.56666666666667</v>
      </c>
      <c r="AZ22" s="3">
        <f t="shared" si="80"/>
        <v>25.966666666666665</v>
      </c>
      <c r="BA22" s="3">
        <f t="shared" si="81"/>
        <v>0</v>
      </c>
      <c r="BB22" s="3">
        <f t="shared" si="82"/>
        <v>14.726666666666667</v>
      </c>
      <c r="BC22" s="3">
        <f t="shared" si="83"/>
        <v>23.579452054794519</v>
      </c>
      <c r="BD22" s="3">
        <f t="shared" si="84"/>
        <v>78.598173515981728</v>
      </c>
      <c r="BE22" s="3">
        <f t="shared" si="85"/>
        <v>7.8598173515981724</v>
      </c>
      <c r="BF22" s="3">
        <f t="shared" si="86"/>
        <v>100.40916666666665</v>
      </c>
      <c r="BG22" s="3">
        <f t="shared" si="87"/>
        <v>17.213000000000001</v>
      </c>
      <c r="BH22" s="3">
        <f t="shared" si="88"/>
        <v>11.475333333333333</v>
      </c>
      <c r="BI22" s="3">
        <f t="shared" si="89"/>
        <v>27.540800000000001</v>
      </c>
      <c r="BJ22" s="3">
        <f t="shared" si="90"/>
        <v>17213</v>
      </c>
      <c r="BK22" s="3">
        <f t="shared" si="91"/>
        <v>1247</v>
      </c>
      <c r="BL22" s="3">
        <f t="shared" si="92"/>
        <v>779</v>
      </c>
      <c r="BM22" s="3">
        <f t="shared" si="93"/>
        <v>0</v>
      </c>
      <c r="BN22" s="3">
        <f t="shared" si="94"/>
        <v>441.8</v>
      </c>
      <c r="BO22" s="3">
        <f t="shared" si="95"/>
        <v>717.20833333333337</v>
      </c>
      <c r="BP22" s="3">
        <f t="shared" si="96"/>
        <v>2390.6944444444443</v>
      </c>
      <c r="BQ22" s="3">
        <f t="shared" si="97"/>
        <v>239.06944444444443</v>
      </c>
      <c r="BR22" s="3">
        <f t="shared" si="98"/>
        <v>3012.2749999999996</v>
      </c>
      <c r="BS22" s="3">
        <f t="shared" si="99"/>
        <v>516.39</v>
      </c>
      <c r="BT22" s="3">
        <f t="shared" si="100"/>
        <v>344.26</v>
      </c>
      <c r="BU22" s="3">
        <f t="shared" si="101"/>
        <v>826.22400000000005</v>
      </c>
      <c r="BV22" s="53">
        <f t="shared" si="50"/>
        <v>206556</v>
      </c>
      <c r="BW22" s="53">
        <f t="shared" si="51"/>
        <v>14964</v>
      </c>
      <c r="BX22" s="53">
        <f t="shared" si="52"/>
        <v>9348</v>
      </c>
      <c r="BY22" s="53">
        <f t="shared" si="53"/>
        <v>0</v>
      </c>
      <c r="BZ22" s="53">
        <f t="shared" si="54"/>
        <v>5301.6</v>
      </c>
      <c r="CA22" s="53">
        <f t="shared" si="55"/>
        <v>8606.5</v>
      </c>
      <c r="CB22" s="53">
        <f t="shared" si="56"/>
        <v>28688.333333333332</v>
      </c>
      <c r="CC22" s="53">
        <f t="shared" si="57"/>
        <v>2868.833333333333</v>
      </c>
      <c r="CD22" s="53">
        <f t="shared" si="58"/>
        <v>36147.299999999996</v>
      </c>
      <c r="CE22" s="53">
        <f t="shared" si="59"/>
        <v>6196.68</v>
      </c>
      <c r="CF22" s="53">
        <f t="shared" si="60"/>
        <v>4131.12</v>
      </c>
      <c r="CG22" s="53">
        <f t="shared" si="61"/>
        <v>9914.6880000000001</v>
      </c>
      <c r="CH22" s="54">
        <f t="shared" si="62"/>
        <v>332723.05466666666</v>
      </c>
      <c r="CI22" s="46"/>
      <c r="CJ22" s="46"/>
      <c r="CK22" s="46"/>
      <c r="CL22" s="46"/>
      <c r="CM22" s="46"/>
      <c r="CN22" s="46"/>
      <c r="CO22" s="46"/>
      <c r="CP22" s="46"/>
    </row>
    <row r="23" spans="1:94" ht="27" customHeight="1" x14ac:dyDescent="0.2">
      <c r="A23" s="8">
        <v>19</v>
      </c>
      <c r="B23" s="8">
        <v>356</v>
      </c>
      <c r="C23" s="43" t="s">
        <v>192</v>
      </c>
      <c r="D23" s="44" t="str">
        <f t="shared" si="0"/>
        <v>Mejia</v>
      </c>
      <c r="E23" s="44" t="str">
        <f t="shared" si="1"/>
        <v xml:space="preserve">Reynoso </v>
      </c>
      <c r="F23" s="44" t="str">
        <f t="shared" si="2"/>
        <v>Javier</v>
      </c>
      <c r="G23" s="8">
        <v>4</v>
      </c>
      <c r="H23" s="8" t="s">
        <v>191</v>
      </c>
      <c r="I23" s="45" t="s">
        <v>190</v>
      </c>
      <c r="J23" s="45" t="s">
        <v>173</v>
      </c>
      <c r="K23" s="46" t="s">
        <v>6</v>
      </c>
      <c r="L23" s="46" t="s">
        <v>5</v>
      </c>
      <c r="M23" s="46" t="s">
        <v>11</v>
      </c>
      <c r="N23" s="47" t="str">
        <f>IF(H23&gt;0,MID(H23,9,2)&amp;"/"&amp;MID(H23,7,2)&amp;"/"&amp;MID(H23,5,2),0)</f>
        <v>07/07/79</v>
      </c>
      <c r="O23" s="48">
        <f t="shared" ca="1" si="3"/>
        <v>38</v>
      </c>
      <c r="P23" s="1">
        <v>41671</v>
      </c>
      <c r="Q23" s="2" t="str">
        <f t="shared" si="4"/>
        <v>4 años, 10 meses, 30 dias.</v>
      </c>
      <c r="R23" s="2">
        <f t="shared" si="5"/>
        <v>4</v>
      </c>
      <c r="S23" s="2">
        <f t="shared" si="6"/>
        <v>58</v>
      </c>
      <c r="T23" s="2">
        <f t="shared" si="7"/>
        <v>1794</v>
      </c>
      <c r="U23" s="46" t="s">
        <v>90</v>
      </c>
      <c r="V23" s="46">
        <v>16</v>
      </c>
      <c r="W23" s="46" t="s">
        <v>16</v>
      </c>
      <c r="X23" s="46">
        <v>40</v>
      </c>
      <c r="Y23" s="46" t="s">
        <v>15</v>
      </c>
      <c r="Z23" s="46" t="s">
        <v>1</v>
      </c>
      <c r="AA23" s="49">
        <f>IF(C23="Plaza sin presupuesto",0,IF(W23="si",IF(X23=30,VLOOKUP(V23,'[1]Tablas despensa y pasaje 2018'!$A$3:$I$38,2,0),IF(PLANTILLA!X23=40,VLOOKUP(PLANTILLA!V23,'[1]Tablas despensa y pasaje 2018'!$A$3:$I$38,6,0))),IF(X23=30,VLOOKUP(V23,'[1]Tablas despensa y pasaje 2018'!$A$41:$I$48,2,0),IF(X23=40,VLOOKUP(V23,'[1]Tablas despensa y pasaje 2018'!$A$41:$I$48,6,0),0))))</f>
        <v>17213</v>
      </c>
      <c r="AB23" s="49">
        <f>IF(C23="Plaza sin presupuesto",0,IF(W23="si",IF(X23=30,VLOOKUP(V23,'[1]Tablas despensa y pasaje 2018'!$A$3:$I$38,3,0),IF(PLANTILLA!X23=40,VLOOKUP(PLANTILLA!V23,'[1]Tablas despensa y pasaje 2018'!$A$3:$I$38,7,0))),IF(X23=30,VLOOKUP(V23,'[1]Tablas despensa y pasaje 2018'!$A$41:$I$48,3,0),IF(X23=40,VLOOKUP(V23,'[1]Tablas despensa y pasaje 2018'!$A$41:$I$48,7,0),0))))</f>
        <v>1247</v>
      </c>
      <c r="AC23" s="49">
        <f>IF(C23="Plaza sin presupuesto",0,IF(W23="si",IF(X23=30,VLOOKUP(V23,'[1]Tablas despensa y pasaje 2018'!$A$3:$I$38,4,0),IF(PLANTILLA!X23=40,VLOOKUP(PLANTILLA!V23,'[1]Tablas despensa y pasaje 2018'!$A$3:$I$38,8,0))),IF(X23=30,VLOOKUP(V23,'[1]Tablas despensa y pasaje 2018'!$A$41:$I$48,4,0),IF(X23=40,VLOOKUP(V23,'[1]Tablas despensa y pasaje 2018'!$A$41:$I$48,8,0),0))))</f>
        <v>779</v>
      </c>
      <c r="AD23" s="49">
        <f t="shared" si="8"/>
        <v>0</v>
      </c>
      <c r="AE23" s="49">
        <f t="shared" si="9"/>
        <v>0</v>
      </c>
      <c r="AF23" s="49">
        <f t="shared" si="63"/>
        <v>8606.5</v>
      </c>
      <c r="AG23" s="49">
        <f t="shared" si="10"/>
        <v>28688.333333333332</v>
      </c>
      <c r="AH23" s="49">
        <f t="shared" si="11"/>
        <v>2868.833333333333</v>
      </c>
      <c r="AI23" s="49">
        <f t="shared" si="64"/>
        <v>3012.2749999999996</v>
      </c>
      <c r="AJ23" s="49">
        <f t="shared" si="65"/>
        <v>516.39</v>
      </c>
      <c r="AK23" s="49">
        <f t="shared" si="66"/>
        <v>344.26</v>
      </c>
      <c r="AL23" s="49">
        <f t="shared" si="67"/>
        <v>826.22400000000005</v>
      </c>
      <c r="AM23" s="50">
        <f>IF((SUM(AA23:AE23)/2)=0,0,(((((SUM(AA23:AE23)/2)-(VLOOKUP((SUM(AA23:AE23)/2),'[1]Tablas ISR'!$A$4:$D$14,1,TRUE)))*(VLOOKUP((SUM(AA23:AE23)/2),'[1]Tablas ISR'!$A$4:$D$14,4,TRUE)))/100)+(VLOOKUP((SUM(AA23:AE23)/2),'[1]Tablas ISR'!$A$4:$D$14,3,TRUE)))*2)</f>
        <v>2833.1016479999998</v>
      </c>
      <c r="AN23" s="51">
        <f t="shared" si="68"/>
        <v>1979.4950000000001</v>
      </c>
      <c r="AO23" s="49">
        <f t="shared" si="69"/>
        <v>8606.5</v>
      </c>
      <c r="AP23" s="49">
        <f t="shared" si="70"/>
        <v>623.5</v>
      </c>
      <c r="AQ23" s="49">
        <f t="shared" si="71"/>
        <v>389.5</v>
      </c>
      <c r="AR23" s="49">
        <f t="shared" si="72"/>
        <v>0</v>
      </c>
      <c r="AS23" s="49">
        <f t="shared" si="73"/>
        <v>0</v>
      </c>
      <c r="AT23" s="49">
        <f t="shared" si="74"/>
        <v>1506.1374999999998</v>
      </c>
      <c r="AU23" s="49">
        <f t="shared" si="75"/>
        <v>258.19499999999999</v>
      </c>
      <c r="AV23" s="49">
        <f t="shared" si="76"/>
        <v>413.11200000000002</v>
      </c>
      <c r="AW23" s="52">
        <f t="shared" si="77"/>
        <v>7213.2016759999997</v>
      </c>
      <c r="AX23" s="3">
        <f t="shared" si="78"/>
        <v>573.76666666666665</v>
      </c>
      <c r="AY23" s="3">
        <f t="shared" si="79"/>
        <v>41.56666666666667</v>
      </c>
      <c r="AZ23" s="3">
        <f t="shared" si="80"/>
        <v>25.966666666666665</v>
      </c>
      <c r="BA23" s="3">
        <f t="shared" si="81"/>
        <v>0</v>
      </c>
      <c r="BB23" s="3">
        <f t="shared" si="82"/>
        <v>0</v>
      </c>
      <c r="BC23" s="3">
        <f t="shared" si="83"/>
        <v>23.579452054794519</v>
      </c>
      <c r="BD23" s="3">
        <f t="shared" si="84"/>
        <v>78.598173515981728</v>
      </c>
      <c r="BE23" s="3">
        <f t="shared" si="85"/>
        <v>7.8598173515981724</v>
      </c>
      <c r="BF23" s="3">
        <f t="shared" si="86"/>
        <v>100.40916666666665</v>
      </c>
      <c r="BG23" s="3">
        <f t="shared" si="87"/>
        <v>17.213000000000001</v>
      </c>
      <c r="BH23" s="3">
        <f t="shared" si="88"/>
        <v>11.475333333333333</v>
      </c>
      <c r="BI23" s="3">
        <f t="shared" si="89"/>
        <v>27.540800000000001</v>
      </c>
      <c r="BJ23" s="3">
        <f t="shared" si="90"/>
        <v>17213</v>
      </c>
      <c r="BK23" s="3">
        <f t="shared" si="91"/>
        <v>1247</v>
      </c>
      <c r="BL23" s="3">
        <f t="shared" si="92"/>
        <v>779</v>
      </c>
      <c r="BM23" s="3">
        <f t="shared" si="93"/>
        <v>0</v>
      </c>
      <c r="BN23" s="3">
        <f t="shared" si="94"/>
        <v>0</v>
      </c>
      <c r="BO23" s="3">
        <f t="shared" si="95"/>
        <v>717.20833333333337</v>
      </c>
      <c r="BP23" s="3">
        <f t="shared" si="96"/>
        <v>2390.6944444444443</v>
      </c>
      <c r="BQ23" s="3">
        <f t="shared" si="97"/>
        <v>239.06944444444443</v>
      </c>
      <c r="BR23" s="3">
        <f t="shared" si="98"/>
        <v>3012.2749999999996</v>
      </c>
      <c r="BS23" s="3">
        <f t="shared" si="99"/>
        <v>516.39</v>
      </c>
      <c r="BT23" s="3">
        <f t="shared" si="100"/>
        <v>344.26</v>
      </c>
      <c r="BU23" s="3">
        <f t="shared" si="101"/>
        <v>826.22400000000005</v>
      </c>
      <c r="BV23" s="53">
        <f t="shared" si="50"/>
        <v>206556</v>
      </c>
      <c r="BW23" s="53">
        <f t="shared" si="51"/>
        <v>14964</v>
      </c>
      <c r="BX23" s="53">
        <f t="shared" si="52"/>
        <v>9348</v>
      </c>
      <c r="BY23" s="53">
        <f t="shared" si="53"/>
        <v>0</v>
      </c>
      <c r="BZ23" s="53">
        <f t="shared" si="54"/>
        <v>0</v>
      </c>
      <c r="CA23" s="53">
        <f t="shared" si="55"/>
        <v>8606.5</v>
      </c>
      <c r="CB23" s="53">
        <f t="shared" si="56"/>
        <v>28688.333333333332</v>
      </c>
      <c r="CC23" s="53">
        <f t="shared" si="57"/>
        <v>2868.833333333333</v>
      </c>
      <c r="CD23" s="53">
        <f t="shared" si="58"/>
        <v>36147.299999999996</v>
      </c>
      <c r="CE23" s="53">
        <f t="shared" si="59"/>
        <v>6196.68</v>
      </c>
      <c r="CF23" s="53">
        <f t="shared" si="60"/>
        <v>4131.12</v>
      </c>
      <c r="CG23" s="53">
        <f t="shared" si="61"/>
        <v>9914.6880000000001</v>
      </c>
      <c r="CH23" s="54">
        <f t="shared" si="62"/>
        <v>327421.45466666663</v>
      </c>
      <c r="CI23" s="46"/>
      <c r="CJ23" s="46"/>
      <c r="CK23" s="46"/>
      <c r="CL23" s="46"/>
      <c r="CM23" s="46"/>
      <c r="CN23" s="46"/>
      <c r="CO23" s="46"/>
      <c r="CP23" s="46"/>
    </row>
    <row r="24" spans="1:94" ht="27" customHeight="1" x14ac:dyDescent="0.2">
      <c r="A24" s="8">
        <v>20</v>
      </c>
      <c r="B24" s="8">
        <v>357</v>
      </c>
      <c r="C24" s="43" t="s">
        <v>189</v>
      </c>
      <c r="D24" s="44" t="str">
        <f t="shared" si="0"/>
        <v>Torres</v>
      </c>
      <c r="E24" s="44" t="str">
        <f t="shared" si="1"/>
        <v xml:space="preserve">Aguilar </v>
      </c>
      <c r="F24" s="44" t="str">
        <f t="shared" si="2"/>
        <v>Roberto</v>
      </c>
      <c r="G24" s="8">
        <v>4</v>
      </c>
      <c r="H24" s="8" t="s">
        <v>188</v>
      </c>
      <c r="I24" s="45" t="s">
        <v>187</v>
      </c>
      <c r="J24" s="45" t="s">
        <v>173</v>
      </c>
      <c r="K24" s="46" t="s">
        <v>12</v>
      </c>
      <c r="L24" s="46" t="s">
        <v>5</v>
      </c>
      <c r="M24" s="46" t="s">
        <v>11</v>
      </c>
      <c r="N24" s="47" t="str">
        <f>IF(H24&gt;0,MID(H24,9,2)&amp;"/"&amp;MID(H24,7,2)&amp;"/"&amp;MID(H24,5,2),0)</f>
        <v>09/12/78</v>
      </c>
      <c r="O24" s="48">
        <f t="shared" ca="1" si="3"/>
        <v>39</v>
      </c>
      <c r="P24" s="1">
        <v>38307</v>
      </c>
      <c r="Q24" s="2" t="str">
        <f t="shared" si="4"/>
        <v>14 años, 1 meses, 15 dias.</v>
      </c>
      <c r="R24" s="2">
        <f t="shared" si="5"/>
        <v>14</v>
      </c>
      <c r="S24" s="2">
        <f t="shared" si="6"/>
        <v>169</v>
      </c>
      <c r="T24" s="2">
        <f t="shared" si="7"/>
        <v>5158</v>
      </c>
      <c r="U24" s="46" t="s">
        <v>90</v>
      </c>
      <c r="V24" s="46">
        <v>14</v>
      </c>
      <c r="W24" s="46" t="s">
        <v>16</v>
      </c>
      <c r="X24" s="46">
        <v>40</v>
      </c>
      <c r="Y24" s="46" t="s">
        <v>2</v>
      </c>
      <c r="Z24" s="46" t="s">
        <v>16</v>
      </c>
      <c r="AA24" s="49">
        <f>IF(C24="Plaza sin presupuesto",0,IF(W24="si",IF(X24=30,VLOOKUP(V24,'[1]Tablas despensa y pasaje 2018'!$A$3:$I$38,2,0),IF(PLANTILLA!X24=40,VLOOKUP(PLANTILLA!V24,'[1]Tablas despensa y pasaje 2018'!$A$3:$I$38,6,0))),IF(X24=30,VLOOKUP(V24,'[1]Tablas despensa y pasaje 2018'!$A$41:$I$48,2,0),IF(X24=40,VLOOKUP(V24,'[1]Tablas despensa y pasaje 2018'!$A$41:$I$48,6,0),0))))</f>
        <v>14217</v>
      </c>
      <c r="AB24" s="49">
        <f>IF(C24="Plaza sin presupuesto",0,IF(W24="si",IF(X24=30,VLOOKUP(V24,'[1]Tablas despensa y pasaje 2018'!$A$3:$I$38,3,0),IF(PLANTILLA!X24=40,VLOOKUP(PLANTILLA!V24,'[1]Tablas despensa y pasaje 2018'!$A$3:$I$38,7,0))),IF(X24=30,VLOOKUP(V24,'[1]Tablas despensa y pasaje 2018'!$A$41:$I$48,3,0),IF(X24=40,VLOOKUP(V24,'[1]Tablas despensa y pasaje 2018'!$A$41:$I$48,7,0),0))))</f>
        <v>1163</v>
      </c>
      <c r="AC24" s="49">
        <f>IF(C24="Plaza sin presupuesto",0,IF(W24="si",IF(X24=30,VLOOKUP(V24,'[1]Tablas despensa y pasaje 2018'!$A$3:$I$38,4,0),IF(PLANTILLA!X24=40,VLOOKUP(PLANTILLA!V24,'[1]Tablas despensa y pasaje 2018'!$A$3:$I$38,8,0))),IF(X24=30,VLOOKUP(V24,'[1]Tablas despensa y pasaje 2018'!$A$41:$I$48,4,0),IF(X24=40,VLOOKUP(V24,'[1]Tablas despensa y pasaje 2018'!$A$41:$I$48,8,0),0))))</f>
        <v>722</v>
      </c>
      <c r="AD24" s="49">
        <f t="shared" si="8"/>
        <v>426.51</v>
      </c>
      <c r="AE24" s="49">
        <f t="shared" si="9"/>
        <v>265.08</v>
      </c>
      <c r="AF24" s="49">
        <f t="shared" si="63"/>
        <v>8396.7950000000001</v>
      </c>
      <c r="AG24" s="49">
        <f t="shared" si="10"/>
        <v>23695</v>
      </c>
      <c r="AH24" s="49">
        <f t="shared" si="11"/>
        <v>2369.5</v>
      </c>
      <c r="AI24" s="49">
        <f t="shared" si="64"/>
        <v>2487.9749999999999</v>
      </c>
      <c r="AJ24" s="49">
        <f t="shared" si="65"/>
        <v>426.51</v>
      </c>
      <c r="AK24" s="49">
        <f t="shared" si="66"/>
        <v>284.34000000000003</v>
      </c>
      <c r="AL24" s="49">
        <f t="shared" si="67"/>
        <v>682.41600000000005</v>
      </c>
      <c r="AM24" s="50">
        <f>IF((SUM(AA24:AE24)/2)=0,0,(((((SUM(AA24:AE24)/2)-(VLOOKUP((SUM(AA24:AE24)/2),'[1]Tablas ISR'!$A$4:$D$14,1,TRUE)))*(VLOOKUP((SUM(AA24:AE24)/2),'[1]Tablas ISR'!$A$4:$D$14,4,TRUE)))/100)+(VLOOKUP((SUM(AA24:AE24)/2),'[1]Tablas ISR'!$A$4:$D$14,3,TRUE)))*2)</f>
        <v>2310.762072</v>
      </c>
      <c r="AN24" s="51">
        <f t="shared" si="68"/>
        <v>1634.9550000000002</v>
      </c>
      <c r="AO24" s="49">
        <f t="shared" si="69"/>
        <v>7108.5</v>
      </c>
      <c r="AP24" s="49">
        <f t="shared" si="70"/>
        <v>581.5</v>
      </c>
      <c r="AQ24" s="49">
        <f t="shared" si="71"/>
        <v>361</v>
      </c>
      <c r="AR24" s="49">
        <f t="shared" si="72"/>
        <v>213.255</v>
      </c>
      <c r="AS24" s="49">
        <f t="shared" si="73"/>
        <v>132.54</v>
      </c>
      <c r="AT24" s="49">
        <f t="shared" si="74"/>
        <v>1243.9875</v>
      </c>
      <c r="AU24" s="49">
        <f t="shared" si="75"/>
        <v>213.255</v>
      </c>
      <c r="AV24" s="49">
        <f t="shared" si="76"/>
        <v>341.20800000000003</v>
      </c>
      <c r="AW24" s="52">
        <f t="shared" si="77"/>
        <v>6423.9364640000003</v>
      </c>
      <c r="AX24" s="3">
        <f t="shared" si="78"/>
        <v>473.9</v>
      </c>
      <c r="AY24" s="3">
        <f t="shared" si="79"/>
        <v>38.766666666666666</v>
      </c>
      <c r="AZ24" s="3">
        <f t="shared" si="80"/>
        <v>24.066666666666666</v>
      </c>
      <c r="BA24" s="3">
        <f t="shared" si="81"/>
        <v>14.217000000000001</v>
      </c>
      <c r="BB24" s="3">
        <f t="shared" si="82"/>
        <v>8.8360000000000003</v>
      </c>
      <c r="BC24" s="3">
        <f t="shared" si="83"/>
        <v>23.004917808219179</v>
      </c>
      <c r="BD24" s="3">
        <f t="shared" si="84"/>
        <v>64.917808219178085</v>
      </c>
      <c r="BE24" s="3">
        <f t="shared" si="85"/>
        <v>6.4917808219178079</v>
      </c>
      <c r="BF24" s="3">
        <f t="shared" si="86"/>
        <v>82.93249999999999</v>
      </c>
      <c r="BG24" s="3">
        <f t="shared" si="87"/>
        <v>14.217000000000001</v>
      </c>
      <c r="BH24" s="3">
        <f t="shared" si="88"/>
        <v>9.4780000000000015</v>
      </c>
      <c r="BI24" s="3">
        <f t="shared" si="89"/>
        <v>22.747200000000003</v>
      </c>
      <c r="BJ24" s="3">
        <f t="shared" si="90"/>
        <v>14217</v>
      </c>
      <c r="BK24" s="3">
        <f t="shared" si="91"/>
        <v>1163</v>
      </c>
      <c r="BL24" s="3">
        <f t="shared" si="92"/>
        <v>722</v>
      </c>
      <c r="BM24" s="3">
        <f t="shared" si="93"/>
        <v>426.51</v>
      </c>
      <c r="BN24" s="3">
        <f t="shared" si="94"/>
        <v>265.08</v>
      </c>
      <c r="BO24" s="3">
        <f t="shared" si="95"/>
        <v>699.73291666666671</v>
      </c>
      <c r="BP24" s="3">
        <f t="shared" si="96"/>
        <v>1974.5833333333333</v>
      </c>
      <c r="BQ24" s="3">
        <f t="shared" si="97"/>
        <v>197.45833333333334</v>
      </c>
      <c r="BR24" s="3">
        <f t="shared" si="98"/>
        <v>2487.9749999999999</v>
      </c>
      <c r="BS24" s="3">
        <f t="shared" si="99"/>
        <v>426.51</v>
      </c>
      <c r="BT24" s="3">
        <f t="shared" si="100"/>
        <v>284.34000000000003</v>
      </c>
      <c r="BU24" s="3">
        <f t="shared" si="101"/>
        <v>682.41600000000005</v>
      </c>
      <c r="BV24" s="53">
        <f t="shared" si="50"/>
        <v>170604</v>
      </c>
      <c r="BW24" s="53">
        <f t="shared" si="51"/>
        <v>13956</v>
      </c>
      <c r="BX24" s="53">
        <f t="shared" si="52"/>
        <v>8664</v>
      </c>
      <c r="BY24" s="53">
        <f t="shared" si="53"/>
        <v>5118.12</v>
      </c>
      <c r="BZ24" s="53">
        <f t="shared" si="54"/>
        <v>3180.96</v>
      </c>
      <c r="CA24" s="53">
        <f t="shared" si="55"/>
        <v>8396.7950000000001</v>
      </c>
      <c r="CB24" s="53">
        <f t="shared" si="56"/>
        <v>23695</v>
      </c>
      <c r="CC24" s="53">
        <f t="shared" si="57"/>
        <v>2369.5</v>
      </c>
      <c r="CD24" s="53">
        <f t="shared" si="58"/>
        <v>29855.699999999997</v>
      </c>
      <c r="CE24" s="53">
        <f t="shared" si="59"/>
        <v>5118.12</v>
      </c>
      <c r="CF24" s="53">
        <f t="shared" si="60"/>
        <v>3412.0800000000004</v>
      </c>
      <c r="CG24" s="53">
        <f t="shared" si="61"/>
        <v>8188.9920000000002</v>
      </c>
      <c r="CH24" s="54">
        <f t="shared" si="62"/>
        <v>282559.26700000005</v>
      </c>
      <c r="CI24" s="46"/>
      <c r="CJ24" s="46"/>
      <c r="CK24" s="46"/>
      <c r="CL24" s="46"/>
      <c r="CM24" s="46"/>
      <c r="CN24" s="46"/>
      <c r="CO24" s="46"/>
      <c r="CP24" s="46"/>
    </row>
    <row r="25" spans="1:94" ht="27" customHeight="1" x14ac:dyDescent="0.2">
      <c r="A25" s="8">
        <v>21</v>
      </c>
      <c r="B25" s="8">
        <v>358</v>
      </c>
      <c r="C25" s="43" t="s">
        <v>186</v>
      </c>
      <c r="D25" s="44" t="str">
        <f t="shared" si="0"/>
        <v>Robles</v>
      </c>
      <c r="E25" s="44" t="str">
        <f t="shared" si="1"/>
        <v xml:space="preserve">Bonilla </v>
      </c>
      <c r="F25" s="44" t="str">
        <f t="shared" si="2"/>
        <v>Raquel</v>
      </c>
      <c r="G25" s="8">
        <v>4</v>
      </c>
      <c r="H25" s="8" t="s">
        <v>185</v>
      </c>
      <c r="I25" s="45" t="s">
        <v>45</v>
      </c>
      <c r="J25" s="45" t="s">
        <v>173</v>
      </c>
      <c r="K25" s="46" t="s">
        <v>6</v>
      </c>
      <c r="L25" s="46" t="s">
        <v>17</v>
      </c>
      <c r="M25" s="46" t="s">
        <v>91</v>
      </c>
      <c r="N25" s="47" t="str">
        <f>IF(H25&gt;0,MID(H25,9,2)&amp;"/"&amp;MID(H25,7,2)&amp;"/"&amp;MID(H25,5,2),0)</f>
        <v>15/06/67</v>
      </c>
      <c r="O25" s="48">
        <f t="shared" ca="1" si="3"/>
        <v>50</v>
      </c>
      <c r="P25" s="1">
        <v>35977</v>
      </c>
      <c r="Q25" s="2" t="str">
        <f t="shared" si="4"/>
        <v>20 años, 5 meses, 30 dias.</v>
      </c>
      <c r="R25" s="2">
        <f t="shared" si="5"/>
        <v>20</v>
      </c>
      <c r="S25" s="2">
        <f t="shared" si="6"/>
        <v>245</v>
      </c>
      <c r="T25" s="2">
        <f t="shared" si="7"/>
        <v>7488</v>
      </c>
      <c r="U25" s="46" t="s">
        <v>90</v>
      </c>
      <c r="V25" s="46">
        <v>13</v>
      </c>
      <c r="W25" s="46" t="s">
        <v>1</v>
      </c>
      <c r="X25" s="46">
        <v>40</v>
      </c>
      <c r="Y25" s="46" t="s">
        <v>2</v>
      </c>
      <c r="Z25" s="46" t="s">
        <v>16</v>
      </c>
      <c r="AA25" s="49">
        <f>IF(C25="Plaza sin presupuesto",0,IF(W25="si",IF(X25=30,VLOOKUP(V25,'[1]Tablas despensa y pasaje 2018'!$A$3:$I$38,2,0),IF(PLANTILLA!X25=40,VLOOKUP(PLANTILLA!V25,'[1]Tablas despensa y pasaje 2018'!$A$3:$I$38,6,0))),IF(X25=30,VLOOKUP(V25,'[1]Tablas despensa y pasaje 2018'!$A$41:$I$48,2,0),IF(X25=40,VLOOKUP(V25,'[1]Tablas despensa y pasaje 2018'!$A$41:$I$48,6,0),0))))</f>
        <v>13714</v>
      </c>
      <c r="AB25" s="49">
        <f>IF(C25="Plaza sin presupuesto",0,IF(W25="si",IF(X25=30,VLOOKUP(V25,'[1]Tablas despensa y pasaje 2018'!$A$3:$I$38,3,0),IF(PLANTILLA!X25=40,VLOOKUP(PLANTILLA!V25,'[1]Tablas despensa y pasaje 2018'!$A$3:$I$38,7,0))),IF(X25=30,VLOOKUP(V25,'[1]Tablas despensa y pasaje 2018'!$A$41:$I$48,3,0),IF(X25=40,VLOOKUP(V25,'[1]Tablas despensa y pasaje 2018'!$A$41:$I$48,7,0),0))))</f>
        <v>1128</v>
      </c>
      <c r="AC25" s="49">
        <f>IF(C25="Plaza sin presupuesto",0,IF(W25="si",IF(X25=30,VLOOKUP(V25,'[1]Tablas despensa y pasaje 2018'!$A$3:$I$38,4,0),IF(PLANTILLA!X25=40,VLOOKUP(PLANTILLA!V25,'[1]Tablas despensa y pasaje 2018'!$A$3:$I$38,8,0))),IF(X25=30,VLOOKUP(V25,'[1]Tablas despensa y pasaje 2018'!$A$41:$I$48,4,0),IF(X25=40,VLOOKUP(V25,'[1]Tablas despensa y pasaje 2018'!$A$41:$I$48,8,0),0))))</f>
        <v>703</v>
      </c>
      <c r="AD25" s="49">
        <f t="shared" si="8"/>
        <v>0</v>
      </c>
      <c r="AE25" s="49">
        <f t="shared" si="9"/>
        <v>441.8</v>
      </c>
      <c r="AF25" s="49">
        <f t="shared" si="63"/>
        <v>6857</v>
      </c>
      <c r="AG25" s="49">
        <f t="shared" si="10"/>
        <v>22856.666666666668</v>
      </c>
      <c r="AH25" s="49">
        <f t="shared" si="11"/>
        <v>2285.6666666666665</v>
      </c>
      <c r="AI25" s="49">
        <f t="shared" si="64"/>
        <v>2399.9499999999998</v>
      </c>
      <c r="AJ25" s="49">
        <f t="shared" si="65"/>
        <v>411.41999999999996</v>
      </c>
      <c r="AK25" s="49">
        <f t="shared" si="66"/>
        <v>274.28000000000003</v>
      </c>
      <c r="AL25" s="49">
        <f t="shared" si="67"/>
        <v>658.27200000000005</v>
      </c>
      <c r="AM25" s="50">
        <f>IF((SUM(AA25:AE25)/2)=0,0,(((((SUM(AA25:AE25)/2)-(VLOOKUP((SUM(AA25:AE25)/2),'[1]Tablas ISR'!$A$4:$D$14,1,TRUE)))*(VLOOKUP((SUM(AA25:AE25)/2),'[1]Tablas ISR'!$A$4:$D$14,4,TRUE)))/100)+(VLOOKUP((SUM(AA25:AE25)/2),'[1]Tablas ISR'!$A$4:$D$14,3,TRUE)))*2)</f>
        <v>2138.431728</v>
      </c>
      <c r="AN25" s="51">
        <f t="shared" si="68"/>
        <v>1577.1100000000001</v>
      </c>
      <c r="AO25" s="49">
        <f t="shared" si="69"/>
        <v>6857</v>
      </c>
      <c r="AP25" s="49">
        <f t="shared" si="70"/>
        <v>564</v>
      </c>
      <c r="AQ25" s="49">
        <f t="shared" si="71"/>
        <v>351.5</v>
      </c>
      <c r="AR25" s="49">
        <f t="shared" si="72"/>
        <v>0</v>
      </c>
      <c r="AS25" s="49">
        <f t="shared" si="73"/>
        <v>220.9</v>
      </c>
      <c r="AT25" s="49">
        <f t="shared" si="74"/>
        <v>1199.9749999999999</v>
      </c>
      <c r="AU25" s="49">
        <f t="shared" si="75"/>
        <v>205.70999999999998</v>
      </c>
      <c r="AV25" s="49">
        <f t="shared" si="76"/>
        <v>329.13600000000002</v>
      </c>
      <c r="AW25" s="52">
        <f t="shared" si="77"/>
        <v>6135.6291359999996</v>
      </c>
      <c r="AX25" s="3">
        <f t="shared" si="78"/>
        <v>457.13333333333333</v>
      </c>
      <c r="AY25" s="3">
        <f t="shared" si="79"/>
        <v>37.6</v>
      </c>
      <c r="AZ25" s="3">
        <f t="shared" si="80"/>
        <v>23.433333333333334</v>
      </c>
      <c r="BA25" s="3">
        <f t="shared" si="81"/>
        <v>0</v>
      </c>
      <c r="BB25" s="3">
        <f t="shared" si="82"/>
        <v>14.726666666666667</v>
      </c>
      <c r="BC25" s="3">
        <f t="shared" si="83"/>
        <v>18.786301369863015</v>
      </c>
      <c r="BD25" s="3">
        <f t="shared" si="84"/>
        <v>62.621004566210047</v>
      </c>
      <c r="BE25" s="3">
        <f t="shared" si="85"/>
        <v>6.2621004566210043</v>
      </c>
      <c r="BF25" s="3">
        <f t="shared" si="86"/>
        <v>79.998333333333321</v>
      </c>
      <c r="BG25" s="3">
        <f t="shared" si="87"/>
        <v>13.713999999999999</v>
      </c>
      <c r="BH25" s="3">
        <f t="shared" si="88"/>
        <v>9.1426666666666669</v>
      </c>
      <c r="BI25" s="3">
        <f t="shared" si="89"/>
        <v>21.942400000000003</v>
      </c>
      <c r="BJ25" s="3">
        <f t="shared" si="90"/>
        <v>13714</v>
      </c>
      <c r="BK25" s="3">
        <f t="shared" si="91"/>
        <v>1128</v>
      </c>
      <c r="BL25" s="3">
        <f t="shared" si="92"/>
        <v>703</v>
      </c>
      <c r="BM25" s="3">
        <f t="shared" si="93"/>
        <v>0</v>
      </c>
      <c r="BN25" s="3">
        <f t="shared" si="94"/>
        <v>441.8</v>
      </c>
      <c r="BO25" s="3">
        <f t="shared" si="95"/>
        <v>571.41666666666663</v>
      </c>
      <c r="BP25" s="3">
        <f t="shared" si="96"/>
        <v>1904.7222222222224</v>
      </c>
      <c r="BQ25" s="3">
        <f t="shared" si="97"/>
        <v>190.4722222222222</v>
      </c>
      <c r="BR25" s="3">
        <f t="shared" si="98"/>
        <v>2399.9499999999998</v>
      </c>
      <c r="BS25" s="3">
        <f t="shared" si="99"/>
        <v>411.41999999999996</v>
      </c>
      <c r="BT25" s="3">
        <f t="shared" si="100"/>
        <v>274.28000000000003</v>
      </c>
      <c r="BU25" s="3">
        <f t="shared" si="101"/>
        <v>658.27200000000005</v>
      </c>
      <c r="BV25" s="53">
        <f t="shared" si="50"/>
        <v>164568</v>
      </c>
      <c r="BW25" s="53">
        <f t="shared" si="51"/>
        <v>13536</v>
      </c>
      <c r="BX25" s="53">
        <f t="shared" si="52"/>
        <v>8436</v>
      </c>
      <c r="BY25" s="53">
        <f t="shared" si="53"/>
        <v>0</v>
      </c>
      <c r="BZ25" s="53">
        <f t="shared" si="54"/>
        <v>5301.6</v>
      </c>
      <c r="CA25" s="53">
        <f t="shared" si="55"/>
        <v>6857</v>
      </c>
      <c r="CB25" s="53">
        <f t="shared" si="56"/>
        <v>22856.666666666668</v>
      </c>
      <c r="CC25" s="53">
        <f t="shared" si="57"/>
        <v>2285.6666666666665</v>
      </c>
      <c r="CD25" s="53">
        <f t="shared" si="58"/>
        <v>28799.399999999998</v>
      </c>
      <c r="CE25" s="53">
        <f t="shared" si="59"/>
        <v>4937.0399999999991</v>
      </c>
      <c r="CF25" s="53">
        <f t="shared" si="60"/>
        <v>3291.3600000000006</v>
      </c>
      <c r="CG25" s="53">
        <f t="shared" si="61"/>
        <v>7899.264000000001</v>
      </c>
      <c r="CH25" s="54">
        <f t="shared" si="62"/>
        <v>268767.99733333336</v>
      </c>
      <c r="CI25" s="46"/>
      <c r="CJ25" s="46"/>
      <c r="CK25" s="46"/>
      <c r="CL25" s="46"/>
      <c r="CM25" s="46"/>
      <c r="CN25" s="46"/>
      <c r="CO25" s="46"/>
      <c r="CP25" s="46"/>
    </row>
    <row r="26" spans="1:94" ht="27" customHeight="1" x14ac:dyDescent="0.2">
      <c r="A26" s="8">
        <v>22</v>
      </c>
      <c r="B26" s="8">
        <v>359</v>
      </c>
      <c r="C26" s="43" t="s">
        <v>184</v>
      </c>
      <c r="D26" s="44" t="str">
        <f t="shared" si="0"/>
        <v>Lopez</v>
      </c>
      <c r="E26" s="44" t="str">
        <f t="shared" si="1"/>
        <v xml:space="preserve">Sanchez </v>
      </c>
      <c r="F26" s="44" t="str">
        <f t="shared" si="2"/>
        <v>Minerva</v>
      </c>
      <c r="G26" s="8">
        <v>4</v>
      </c>
      <c r="H26" s="8" t="s">
        <v>183</v>
      </c>
      <c r="I26" s="45" t="s">
        <v>45</v>
      </c>
      <c r="J26" s="45" t="s">
        <v>173</v>
      </c>
      <c r="K26" s="46" t="s">
        <v>12</v>
      </c>
      <c r="L26" s="46" t="s">
        <v>17</v>
      </c>
      <c r="M26" s="46" t="s">
        <v>11</v>
      </c>
      <c r="N26" s="47" t="str">
        <f>IF(H26&gt;0,MID(H26,9,2)&amp;"/"&amp;MID(H26,7,2)&amp;"/"&amp;MID(H26,5,2),0)</f>
        <v>05/12/88</v>
      </c>
      <c r="O26" s="48">
        <f t="shared" ca="1" si="3"/>
        <v>29</v>
      </c>
      <c r="P26" s="1">
        <v>41676</v>
      </c>
      <c r="Q26" s="2" t="str">
        <f t="shared" si="4"/>
        <v>4 años, 10 meses, 25 dias.</v>
      </c>
      <c r="R26" s="2">
        <f t="shared" si="5"/>
        <v>4</v>
      </c>
      <c r="S26" s="2">
        <f t="shared" si="6"/>
        <v>58</v>
      </c>
      <c r="T26" s="2">
        <f t="shared" si="7"/>
        <v>1789</v>
      </c>
      <c r="U26" s="46" t="s">
        <v>90</v>
      </c>
      <c r="V26" s="46">
        <v>13</v>
      </c>
      <c r="W26" s="46" t="s">
        <v>1</v>
      </c>
      <c r="X26" s="46">
        <v>30</v>
      </c>
      <c r="Y26" s="46" t="s">
        <v>2</v>
      </c>
      <c r="Z26" s="46" t="s">
        <v>16</v>
      </c>
      <c r="AA26" s="49">
        <f>IF(C26="Plaza sin presupuesto",0,IF(W26="si",IF(X26=30,VLOOKUP(V26,'[1]Tablas despensa y pasaje 2018'!$A$3:$I$38,2,0),IF(PLANTILLA!X26=40,VLOOKUP(PLANTILLA!V26,'[1]Tablas despensa y pasaje 2018'!$A$3:$I$38,6,0))),IF(X26=30,VLOOKUP(V26,'[1]Tablas despensa y pasaje 2018'!$A$41:$I$48,2,0),IF(X26=40,VLOOKUP(V26,'[1]Tablas despensa y pasaje 2018'!$A$41:$I$48,6,0),0))))</f>
        <v>10287</v>
      </c>
      <c r="AB26" s="49">
        <f>IF(C26="Plaza sin presupuesto",0,IF(W26="si",IF(X26=30,VLOOKUP(V26,'[1]Tablas despensa y pasaje 2018'!$A$3:$I$38,3,0),IF(PLANTILLA!X26=40,VLOOKUP(PLANTILLA!V26,'[1]Tablas despensa y pasaje 2018'!$A$3:$I$38,7,0))),IF(X26=30,VLOOKUP(V26,'[1]Tablas despensa y pasaje 2018'!$A$41:$I$48,3,0),IF(X26=40,VLOOKUP(V26,'[1]Tablas despensa y pasaje 2018'!$A$41:$I$48,7,0),0))))</f>
        <v>820</v>
      </c>
      <c r="AC26" s="49">
        <f>IF(C26="Plaza sin presupuesto",0,IF(W26="si",IF(X26=30,VLOOKUP(V26,'[1]Tablas despensa y pasaje 2018'!$A$3:$I$38,4,0),IF(PLANTILLA!X26=40,VLOOKUP(PLANTILLA!V26,'[1]Tablas despensa y pasaje 2018'!$A$3:$I$38,8,0))),IF(X26=30,VLOOKUP(V26,'[1]Tablas despensa y pasaje 2018'!$A$41:$I$48,4,0),IF(X26=40,VLOOKUP(V26,'[1]Tablas despensa y pasaje 2018'!$A$41:$I$48,8,0),0))))</f>
        <v>510</v>
      </c>
      <c r="AD26" s="49">
        <f t="shared" si="8"/>
        <v>308.61</v>
      </c>
      <c r="AE26" s="49">
        <f t="shared" si="9"/>
        <v>0</v>
      </c>
      <c r="AF26" s="49">
        <f t="shared" si="63"/>
        <v>5962.8050000000003</v>
      </c>
      <c r="AG26" s="49">
        <f t="shared" si="10"/>
        <v>17145</v>
      </c>
      <c r="AH26" s="49">
        <f t="shared" si="11"/>
        <v>1714.5</v>
      </c>
      <c r="AI26" s="49">
        <f t="shared" si="64"/>
        <v>1800.2249999999999</v>
      </c>
      <c r="AJ26" s="49">
        <f t="shared" si="65"/>
        <v>308.61</v>
      </c>
      <c r="AK26" s="49">
        <f t="shared" si="66"/>
        <v>205.74</v>
      </c>
      <c r="AL26" s="49">
        <f t="shared" si="67"/>
        <v>493.77600000000001</v>
      </c>
      <c r="AM26" s="50">
        <f>IF((SUM(AA26:AE26)/2)=0,0,(((((SUM(AA26:AE26)/2)-(VLOOKUP((SUM(AA26:AE26)/2),'[1]Tablas ISR'!$A$4:$D$14,1,TRUE)))*(VLOOKUP((SUM(AA26:AE26)/2),'[1]Tablas ISR'!$A$4:$D$14,4,TRUE)))/100)+(VLOOKUP((SUM(AA26:AE26)/2),'[1]Tablas ISR'!$A$4:$D$14,3,TRUE)))*2)</f>
        <v>1270.9615440000002</v>
      </c>
      <c r="AN26" s="51">
        <f t="shared" si="68"/>
        <v>1183.0050000000001</v>
      </c>
      <c r="AO26" s="49">
        <f t="shared" si="69"/>
        <v>5143.5</v>
      </c>
      <c r="AP26" s="49">
        <f t="shared" si="70"/>
        <v>410</v>
      </c>
      <c r="AQ26" s="49">
        <f t="shared" si="71"/>
        <v>255</v>
      </c>
      <c r="AR26" s="49">
        <f t="shared" si="72"/>
        <v>154.30500000000001</v>
      </c>
      <c r="AS26" s="49">
        <f t="shared" si="73"/>
        <v>0</v>
      </c>
      <c r="AT26" s="49">
        <f t="shared" si="74"/>
        <v>900.11249999999995</v>
      </c>
      <c r="AU26" s="49">
        <f t="shared" si="75"/>
        <v>154.30500000000001</v>
      </c>
      <c r="AV26" s="49">
        <f t="shared" si="76"/>
        <v>246.88800000000001</v>
      </c>
      <c r="AW26" s="52">
        <f t="shared" si="77"/>
        <v>4735.8217280000008</v>
      </c>
      <c r="AX26" s="3">
        <f t="shared" si="78"/>
        <v>342.9</v>
      </c>
      <c r="AY26" s="3">
        <f t="shared" si="79"/>
        <v>27.333333333333332</v>
      </c>
      <c r="AZ26" s="3">
        <f t="shared" si="80"/>
        <v>17</v>
      </c>
      <c r="BA26" s="3">
        <f t="shared" si="81"/>
        <v>10.287000000000001</v>
      </c>
      <c r="BB26" s="3">
        <f t="shared" si="82"/>
        <v>0</v>
      </c>
      <c r="BC26" s="3">
        <f t="shared" si="83"/>
        <v>16.33645205479452</v>
      </c>
      <c r="BD26" s="3">
        <f t="shared" si="84"/>
        <v>46.972602739726028</v>
      </c>
      <c r="BE26" s="3">
        <f t="shared" si="85"/>
        <v>4.6972602739726028</v>
      </c>
      <c r="BF26" s="3">
        <f t="shared" si="86"/>
        <v>60.0075</v>
      </c>
      <c r="BG26" s="3">
        <f t="shared" si="87"/>
        <v>10.287000000000001</v>
      </c>
      <c r="BH26" s="3">
        <f t="shared" si="88"/>
        <v>6.8580000000000005</v>
      </c>
      <c r="BI26" s="3">
        <f t="shared" si="89"/>
        <v>16.459199999999999</v>
      </c>
      <c r="BJ26" s="3">
        <f t="shared" si="90"/>
        <v>10287</v>
      </c>
      <c r="BK26" s="3">
        <f t="shared" si="91"/>
        <v>820</v>
      </c>
      <c r="BL26" s="3">
        <f t="shared" si="92"/>
        <v>510</v>
      </c>
      <c r="BM26" s="3">
        <f t="shared" si="93"/>
        <v>308.61</v>
      </c>
      <c r="BN26" s="3">
        <f t="shared" si="94"/>
        <v>0</v>
      </c>
      <c r="BO26" s="3">
        <f t="shared" si="95"/>
        <v>496.90041666666667</v>
      </c>
      <c r="BP26" s="3">
        <f t="shared" si="96"/>
        <v>1428.75</v>
      </c>
      <c r="BQ26" s="3">
        <f t="shared" si="97"/>
        <v>142.875</v>
      </c>
      <c r="BR26" s="3">
        <f t="shared" si="98"/>
        <v>1800.2249999999999</v>
      </c>
      <c r="BS26" s="3">
        <f t="shared" si="99"/>
        <v>308.61</v>
      </c>
      <c r="BT26" s="3">
        <f t="shared" si="100"/>
        <v>205.74</v>
      </c>
      <c r="BU26" s="3">
        <f t="shared" si="101"/>
        <v>493.77599999999995</v>
      </c>
      <c r="BV26" s="53">
        <f t="shared" si="50"/>
        <v>123444</v>
      </c>
      <c r="BW26" s="53">
        <f t="shared" si="51"/>
        <v>9840</v>
      </c>
      <c r="BX26" s="53">
        <f t="shared" si="52"/>
        <v>6120</v>
      </c>
      <c r="BY26" s="53">
        <f t="shared" si="53"/>
        <v>3703.32</v>
      </c>
      <c r="BZ26" s="53">
        <f t="shared" si="54"/>
        <v>0</v>
      </c>
      <c r="CA26" s="53">
        <f t="shared" si="55"/>
        <v>5962.8050000000003</v>
      </c>
      <c r="CB26" s="53">
        <f t="shared" si="56"/>
        <v>17145</v>
      </c>
      <c r="CC26" s="53">
        <f t="shared" si="57"/>
        <v>1714.5</v>
      </c>
      <c r="CD26" s="53">
        <f t="shared" si="58"/>
        <v>21602.699999999997</v>
      </c>
      <c r="CE26" s="53">
        <f t="shared" si="59"/>
        <v>3703.32</v>
      </c>
      <c r="CF26" s="53">
        <f t="shared" si="60"/>
        <v>2468.88</v>
      </c>
      <c r="CG26" s="53">
        <f t="shared" si="61"/>
        <v>5925.3119999999999</v>
      </c>
      <c r="CH26" s="54">
        <f t="shared" si="62"/>
        <v>201629.83700000003</v>
      </c>
      <c r="CI26" s="46"/>
      <c r="CJ26" s="46"/>
      <c r="CK26" s="46"/>
      <c r="CL26" s="46"/>
      <c r="CM26" s="46"/>
      <c r="CN26" s="46"/>
      <c r="CO26" s="46"/>
      <c r="CP26" s="46"/>
    </row>
    <row r="27" spans="1:94" ht="27" customHeight="1" x14ac:dyDescent="0.2">
      <c r="A27" s="10">
        <v>23</v>
      </c>
      <c r="B27" s="69" t="s">
        <v>182</v>
      </c>
      <c r="C27" s="70" t="s">
        <v>181</v>
      </c>
      <c r="D27" s="71" t="str">
        <f t="shared" si="0"/>
        <v>Gutierrez</v>
      </c>
      <c r="E27" s="71" t="str">
        <f t="shared" si="1"/>
        <v xml:space="preserve">Velazquez </v>
      </c>
      <c r="F27" s="71" t="str">
        <f t="shared" si="2"/>
        <v>Melquiades</v>
      </c>
      <c r="G27" s="10">
        <v>4</v>
      </c>
      <c r="H27" s="8" t="s">
        <v>180</v>
      </c>
      <c r="I27" s="45" t="s">
        <v>179</v>
      </c>
      <c r="J27" s="45" t="s">
        <v>173</v>
      </c>
      <c r="K27" s="46" t="s">
        <v>6</v>
      </c>
      <c r="L27" s="46" t="s">
        <v>5</v>
      </c>
      <c r="M27" s="46" t="s">
        <v>178</v>
      </c>
      <c r="N27" s="55" t="str">
        <f>IF(H27&gt;0,MID(H27,9,2)&amp;"/"&amp;MID(H27,7,2)&amp;"/"&amp;MID(H27,5,2),0)</f>
        <v>07/02/74</v>
      </c>
      <c r="O27" s="48">
        <f t="shared" ca="1" si="3"/>
        <v>43</v>
      </c>
      <c r="P27" s="7">
        <v>37622</v>
      </c>
      <c r="Q27" s="7" t="str">
        <f t="shared" si="4"/>
        <v>15 años, 11 meses, 30 dias.</v>
      </c>
      <c r="R27" s="72">
        <f t="shared" si="5"/>
        <v>15</v>
      </c>
      <c r="S27" s="72">
        <f t="shared" si="6"/>
        <v>191</v>
      </c>
      <c r="T27" s="72">
        <f t="shared" si="7"/>
        <v>5843</v>
      </c>
      <c r="U27" s="46" t="s">
        <v>90</v>
      </c>
      <c r="V27" s="72">
        <v>10</v>
      </c>
      <c r="W27" s="46" t="s">
        <v>1</v>
      </c>
      <c r="X27" s="72">
        <v>40</v>
      </c>
      <c r="Y27" s="46" t="s">
        <v>2</v>
      </c>
      <c r="Z27" s="46" t="s">
        <v>16</v>
      </c>
      <c r="AA27" s="49">
        <f>IF(C27="Plaza sin presupuesto",0,IF(W27="si",IF(X27=30,VLOOKUP(V27,'[1]Tablas despensa y pasaje 2018'!$A$3:$I$38,2,0),IF(PLANTILLA!X27=40,VLOOKUP(PLANTILLA!V27,'[1]Tablas despensa y pasaje 2018'!$A$3:$I$38,6,0))),IF(X27=30,VLOOKUP(V27,'[1]Tablas despensa y pasaje 2018'!$A$41:$I$48,2,0),IF(X27=40,VLOOKUP(V27,'[1]Tablas despensa y pasaje 2018'!$A$41:$I$48,6,0),0))))</f>
        <v>12905</v>
      </c>
      <c r="AB27" s="49">
        <f>IF(C27="Plaza sin presupuesto",0,IF(W27="si",IF(X27=30,VLOOKUP(V27,'[1]Tablas despensa y pasaje 2018'!$A$3:$I$38,3,0),IF(PLANTILLA!X27=40,VLOOKUP(PLANTILLA!V27,'[1]Tablas despensa y pasaje 2018'!$A$3:$I$38,7,0))),IF(X27=30,VLOOKUP(V27,'[1]Tablas despensa y pasaje 2018'!$A$41:$I$48,3,0),IF(X27=40,VLOOKUP(V27,'[1]Tablas despensa y pasaje 2018'!$A$41:$I$48,7,0),0))))</f>
        <v>1046</v>
      </c>
      <c r="AC27" s="49">
        <f>IF(C27="Plaza sin presupuesto",0,IF(W27="si",IF(X27=30,VLOOKUP(V27,'[1]Tablas despensa y pasaje 2018'!$A$3:$I$38,4,0),IF(PLANTILLA!X27=40,VLOOKUP(PLANTILLA!V27,'[1]Tablas despensa y pasaje 2018'!$A$3:$I$38,8,0))),IF(X27=30,VLOOKUP(V27,'[1]Tablas despensa y pasaje 2018'!$A$41:$I$48,4,0),IF(X27=40,VLOOKUP(V27,'[1]Tablas despensa y pasaje 2018'!$A$41:$I$48,8,0),0))))</f>
        <v>666</v>
      </c>
      <c r="AD27" s="49">
        <f t="shared" si="8"/>
        <v>0</v>
      </c>
      <c r="AE27" s="49">
        <f t="shared" si="9"/>
        <v>353.44</v>
      </c>
      <c r="AF27" s="49">
        <f t="shared" si="63"/>
        <v>6452.5</v>
      </c>
      <c r="AG27" s="49">
        <f t="shared" si="10"/>
        <v>21508.333333333336</v>
      </c>
      <c r="AH27" s="49">
        <f t="shared" si="11"/>
        <v>2150.8333333333335</v>
      </c>
      <c r="AI27" s="49">
        <f t="shared" si="64"/>
        <v>2258.375</v>
      </c>
      <c r="AJ27" s="49">
        <f t="shared" si="65"/>
        <v>387.15</v>
      </c>
      <c r="AK27" s="49">
        <f t="shared" si="66"/>
        <v>258.10000000000002</v>
      </c>
      <c r="AL27" s="49">
        <f t="shared" si="67"/>
        <v>619.44000000000005</v>
      </c>
      <c r="AM27" s="50">
        <f>IF((SUM(AA27:AE27)/2)=0,0,(((((SUM(AA27:AE27)/2)-(VLOOKUP((SUM(AA27:AE27)/2),'[1]Tablas ISR'!$A$4:$D$14,1,TRUE)))*(VLOOKUP((SUM(AA27:AE27)/2),'[1]Tablas ISR'!$A$4:$D$14,4,TRUE)))/100)+(VLOOKUP((SUM(AA27:AE27)/2),'[1]Tablas ISR'!$A$4:$D$14,3,TRUE)))*2)</f>
        <v>1921.3372320000003</v>
      </c>
      <c r="AN27" s="51">
        <f t="shared" si="68"/>
        <v>1484.075</v>
      </c>
      <c r="AO27" s="49">
        <f t="shared" si="69"/>
        <v>6452.5</v>
      </c>
      <c r="AP27" s="49">
        <f t="shared" si="70"/>
        <v>523</v>
      </c>
      <c r="AQ27" s="49">
        <f t="shared" si="71"/>
        <v>333</v>
      </c>
      <c r="AR27" s="49">
        <f t="shared" si="72"/>
        <v>0</v>
      </c>
      <c r="AS27" s="49">
        <f t="shared" si="73"/>
        <v>176.72</v>
      </c>
      <c r="AT27" s="49">
        <f t="shared" si="74"/>
        <v>1129.1875</v>
      </c>
      <c r="AU27" s="49">
        <f t="shared" si="75"/>
        <v>193.57499999999999</v>
      </c>
      <c r="AV27" s="49">
        <f t="shared" si="76"/>
        <v>309.72000000000003</v>
      </c>
      <c r="AW27" s="52">
        <f t="shared" si="77"/>
        <v>5782.513884</v>
      </c>
      <c r="AX27" s="3">
        <f t="shared" si="78"/>
        <v>430.16666666666669</v>
      </c>
      <c r="AY27" s="3">
        <f t="shared" si="79"/>
        <v>34.866666666666667</v>
      </c>
      <c r="AZ27" s="3">
        <f t="shared" si="80"/>
        <v>22.2</v>
      </c>
      <c r="BA27" s="3">
        <f t="shared" si="81"/>
        <v>0</v>
      </c>
      <c r="BB27" s="3">
        <f t="shared" si="82"/>
        <v>11.781333333333333</v>
      </c>
      <c r="BC27" s="3">
        <f t="shared" si="83"/>
        <v>17.67808219178082</v>
      </c>
      <c r="BD27" s="3">
        <f t="shared" si="84"/>
        <v>58.926940639269411</v>
      </c>
      <c r="BE27" s="3">
        <f t="shared" si="85"/>
        <v>5.8926940639269407</v>
      </c>
      <c r="BF27" s="3">
        <f t="shared" si="86"/>
        <v>75.279166666666669</v>
      </c>
      <c r="BG27" s="3">
        <f t="shared" si="87"/>
        <v>12.904999999999999</v>
      </c>
      <c r="BH27" s="3">
        <f t="shared" si="88"/>
        <v>8.6033333333333335</v>
      </c>
      <c r="BI27" s="3">
        <f t="shared" si="89"/>
        <v>20.648000000000003</v>
      </c>
      <c r="BJ27" s="3">
        <f t="shared" si="90"/>
        <v>12905</v>
      </c>
      <c r="BK27" s="3">
        <f t="shared" si="91"/>
        <v>1046</v>
      </c>
      <c r="BL27" s="3">
        <f t="shared" si="92"/>
        <v>666</v>
      </c>
      <c r="BM27" s="3">
        <f t="shared" si="93"/>
        <v>0</v>
      </c>
      <c r="BN27" s="3">
        <f t="shared" si="94"/>
        <v>353.44</v>
      </c>
      <c r="BO27" s="3">
        <f t="shared" si="95"/>
        <v>537.70833333333337</v>
      </c>
      <c r="BP27" s="3">
        <f t="shared" si="96"/>
        <v>1792.3611111111113</v>
      </c>
      <c r="BQ27" s="3">
        <f t="shared" si="97"/>
        <v>179.23611111111111</v>
      </c>
      <c r="BR27" s="3">
        <f t="shared" si="98"/>
        <v>2258.375</v>
      </c>
      <c r="BS27" s="3">
        <f t="shared" si="99"/>
        <v>387.15</v>
      </c>
      <c r="BT27" s="3">
        <f t="shared" si="100"/>
        <v>258.10000000000002</v>
      </c>
      <c r="BU27" s="3">
        <f t="shared" si="101"/>
        <v>619.44000000000005</v>
      </c>
      <c r="BV27" s="53">
        <f t="shared" si="50"/>
        <v>154860</v>
      </c>
      <c r="BW27" s="53">
        <f t="shared" si="51"/>
        <v>12552</v>
      </c>
      <c r="BX27" s="53">
        <f t="shared" si="52"/>
        <v>7992</v>
      </c>
      <c r="BY27" s="53">
        <f t="shared" si="53"/>
        <v>0</v>
      </c>
      <c r="BZ27" s="53">
        <f t="shared" si="54"/>
        <v>4241.28</v>
      </c>
      <c r="CA27" s="53">
        <f t="shared" si="55"/>
        <v>6452.5</v>
      </c>
      <c r="CB27" s="53">
        <f t="shared" si="56"/>
        <v>21508.333333333336</v>
      </c>
      <c r="CC27" s="53">
        <f t="shared" si="57"/>
        <v>2150.8333333333335</v>
      </c>
      <c r="CD27" s="53">
        <f t="shared" si="58"/>
        <v>27100.5</v>
      </c>
      <c r="CE27" s="53">
        <f t="shared" si="59"/>
        <v>4645.7999999999993</v>
      </c>
      <c r="CF27" s="53">
        <f t="shared" si="60"/>
        <v>3097.2000000000003</v>
      </c>
      <c r="CG27" s="53">
        <f t="shared" si="61"/>
        <v>7433.2800000000007</v>
      </c>
      <c r="CH27" s="54">
        <f t="shared" si="62"/>
        <v>252033.72666666668</v>
      </c>
      <c r="CI27" s="46"/>
      <c r="CJ27" s="46"/>
      <c r="CK27" s="46"/>
      <c r="CL27" s="46"/>
      <c r="CM27" s="46"/>
      <c r="CN27" s="46"/>
      <c r="CO27" s="46"/>
      <c r="CP27" s="46"/>
    </row>
    <row r="28" spans="1:94" ht="27" customHeight="1" x14ac:dyDescent="0.2">
      <c r="A28" s="10">
        <v>24</v>
      </c>
      <c r="B28" s="69" t="s">
        <v>177</v>
      </c>
      <c r="C28" s="8" t="s">
        <v>176</v>
      </c>
      <c r="D28" s="71" t="str">
        <f t="shared" si="0"/>
        <v>Andrade</v>
      </c>
      <c r="E28" s="71" t="str">
        <f t="shared" si="1"/>
        <v xml:space="preserve">Castañeda </v>
      </c>
      <c r="F28" s="71" t="str">
        <f t="shared" si="2"/>
        <v>Eduardo</v>
      </c>
      <c r="G28" s="10">
        <v>4</v>
      </c>
      <c r="H28" s="8" t="s">
        <v>175</v>
      </c>
      <c r="I28" s="45" t="s">
        <v>174</v>
      </c>
      <c r="J28" s="45" t="s">
        <v>173</v>
      </c>
      <c r="K28" s="46" t="s">
        <v>23</v>
      </c>
      <c r="L28" s="46" t="s">
        <v>5</v>
      </c>
      <c r="M28" s="46" t="s">
        <v>172</v>
      </c>
      <c r="N28" s="55" t="str">
        <f>IF(H28&gt;0,MID(H28,9,2)&amp;"/"&amp;MID(H28,7,2)&amp;"/"&amp;MID(H28,5,2),0)</f>
        <v>02/04/86</v>
      </c>
      <c r="O28" s="72">
        <f t="shared" ca="1" si="3"/>
        <v>31</v>
      </c>
      <c r="P28" s="7">
        <v>42963</v>
      </c>
      <c r="Q28" s="72" t="str">
        <f t="shared" si="4"/>
        <v>1 años, 4 meses, 15 dias.</v>
      </c>
      <c r="R28" s="72">
        <f t="shared" si="5"/>
        <v>1</v>
      </c>
      <c r="S28" s="72">
        <f t="shared" si="6"/>
        <v>16</v>
      </c>
      <c r="T28" s="72">
        <f t="shared" si="7"/>
        <v>502</v>
      </c>
      <c r="U28" s="46" t="s">
        <v>90</v>
      </c>
      <c r="V28" s="72">
        <v>8</v>
      </c>
      <c r="W28" s="46" t="s">
        <v>1</v>
      </c>
      <c r="X28" s="72">
        <v>40</v>
      </c>
      <c r="Y28" s="46" t="s">
        <v>2</v>
      </c>
      <c r="Z28" s="46" t="s">
        <v>16</v>
      </c>
      <c r="AA28" s="49">
        <f>IF(C28="Plaza sin presupuesto",0,IF(W28="si",IF(X28=30,VLOOKUP(V28,'[1]Tablas despensa y pasaje 2018'!$A$3:$I$38,2,0),IF(PLANTILLA!X28=40,VLOOKUP(PLANTILLA!V28,'[1]Tablas despensa y pasaje 2018'!$A$3:$I$38,6,0))),IF(X28=30,VLOOKUP(V28,'[1]Tablas despensa y pasaje 2018'!$A$41:$I$48,2,0),IF(X28=40,VLOOKUP(V28,'[1]Tablas despensa y pasaje 2018'!$A$41:$I$48,6,0),0))))</f>
        <v>11856</v>
      </c>
      <c r="AB28" s="49">
        <f>IF(C28="Plaza sin presupuesto",0,IF(W28="si",IF(X28=30,VLOOKUP(V28,'[1]Tablas despensa y pasaje 2018'!$A$3:$I$38,3,0),IF(PLANTILLA!X28=40,VLOOKUP(PLANTILLA!V28,'[1]Tablas despensa y pasaje 2018'!$A$3:$I$38,7,0))),IF(X28=30,VLOOKUP(V28,'[1]Tablas despensa y pasaje 2018'!$A$41:$I$48,3,0),IF(X28=40,VLOOKUP(V28,'[1]Tablas despensa y pasaje 2018'!$A$41:$I$48,7,0),0))))</f>
        <v>941</v>
      </c>
      <c r="AC28" s="49">
        <f>IF(C28="Plaza sin presupuesto",0,IF(W28="si",IF(X28=30,VLOOKUP(V28,'[1]Tablas despensa y pasaje 2018'!$A$3:$I$38,4,0),IF(PLANTILLA!X28=40,VLOOKUP(PLANTILLA!V28,'[1]Tablas despensa y pasaje 2018'!$A$3:$I$38,8,0))),IF(X28=30,VLOOKUP(V28,'[1]Tablas despensa y pasaje 2018'!$A$41:$I$48,4,0),IF(X28=40,VLOOKUP(V28,'[1]Tablas despensa y pasaje 2018'!$A$41:$I$48,8,0),0))))</f>
        <v>645</v>
      </c>
      <c r="AD28" s="49">
        <f t="shared" si="8"/>
        <v>0</v>
      </c>
      <c r="AE28" s="49">
        <f t="shared" si="9"/>
        <v>0</v>
      </c>
      <c r="AF28" s="49">
        <f t="shared" si="63"/>
        <v>5928</v>
      </c>
      <c r="AG28" s="49">
        <f t="shared" si="10"/>
        <v>19760</v>
      </c>
      <c r="AH28" s="49">
        <f t="shared" si="11"/>
        <v>1976</v>
      </c>
      <c r="AI28" s="49">
        <f t="shared" si="64"/>
        <v>2074.7999999999997</v>
      </c>
      <c r="AJ28" s="49">
        <f t="shared" si="65"/>
        <v>355.68</v>
      </c>
      <c r="AK28" s="49">
        <f t="shared" si="66"/>
        <v>237.12</v>
      </c>
      <c r="AL28" s="49">
        <f t="shared" si="67"/>
        <v>569.08799999999997</v>
      </c>
      <c r="AM28" s="50">
        <f>IF((SUM(AA28:AE28)/2)=0,0,(((((SUM(AA28:AE28)/2)-(VLOOKUP((SUM(AA28:AE28)/2),'[1]Tablas ISR'!$A$4:$D$14,1,TRUE)))*(VLOOKUP((SUM(AA28:AE28)/2),'[1]Tablas ISR'!$A$4:$D$14,4,TRUE)))/100)+(VLOOKUP((SUM(AA28:AE28)/2),'[1]Tablas ISR'!$A$4:$D$14,3,TRUE)))*2)</f>
        <v>1594.8624480000001</v>
      </c>
      <c r="AN28" s="51">
        <f t="shared" si="68"/>
        <v>1363.44</v>
      </c>
      <c r="AO28" s="49">
        <f t="shared" si="69"/>
        <v>5928</v>
      </c>
      <c r="AP28" s="49">
        <f t="shared" si="70"/>
        <v>470.5</v>
      </c>
      <c r="AQ28" s="49">
        <f t="shared" si="71"/>
        <v>322.5</v>
      </c>
      <c r="AR28" s="49">
        <f t="shared" si="72"/>
        <v>0</v>
      </c>
      <c r="AS28" s="49">
        <f t="shared" si="73"/>
        <v>0</v>
      </c>
      <c r="AT28" s="49">
        <f t="shared" si="74"/>
        <v>1037.3999999999999</v>
      </c>
      <c r="AU28" s="49">
        <f t="shared" si="75"/>
        <v>177.84</v>
      </c>
      <c r="AV28" s="49">
        <f t="shared" si="76"/>
        <v>284.54399999999998</v>
      </c>
      <c r="AW28" s="52">
        <f t="shared" si="77"/>
        <v>5241.8487759999998</v>
      </c>
      <c r="AX28" s="3">
        <f t="shared" si="78"/>
        <v>395.2</v>
      </c>
      <c r="AY28" s="3">
        <f t="shared" si="79"/>
        <v>31.366666666666667</v>
      </c>
      <c r="AZ28" s="3">
        <f t="shared" si="80"/>
        <v>21.5</v>
      </c>
      <c r="BA28" s="3">
        <f t="shared" si="81"/>
        <v>0</v>
      </c>
      <c r="BB28" s="3">
        <f t="shared" si="82"/>
        <v>0</v>
      </c>
      <c r="BC28" s="3">
        <f t="shared" si="83"/>
        <v>16.241095890410961</v>
      </c>
      <c r="BD28" s="3">
        <f t="shared" si="84"/>
        <v>54.136986301369866</v>
      </c>
      <c r="BE28" s="3">
        <f t="shared" si="85"/>
        <v>5.4136986301369863</v>
      </c>
      <c r="BF28" s="3">
        <f t="shared" si="86"/>
        <v>69.16</v>
      </c>
      <c r="BG28" s="3">
        <f t="shared" si="87"/>
        <v>11.856</v>
      </c>
      <c r="BH28" s="3">
        <f t="shared" si="88"/>
        <v>7.9039999999999999</v>
      </c>
      <c r="BI28" s="3">
        <f t="shared" si="89"/>
        <v>18.9696</v>
      </c>
      <c r="BJ28" s="3">
        <f t="shared" si="90"/>
        <v>11856</v>
      </c>
      <c r="BK28" s="3">
        <f t="shared" si="91"/>
        <v>941</v>
      </c>
      <c r="BL28" s="3">
        <f t="shared" si="92"/>
        <v>645</v>
      </c>
      <c r="BM28" s="3">
        <f t="shared" si="93"/>
        <v>0</v>
      </c>
      <c r="BN28" s="3">
        <f t="shared" si="94"/>
        <v>0</v>
      </c>
      <c r="BO28" s="3">
        <f t="shared" si="95"/>
        <v>494</v>
      </c>
      <c r="BP28" s="3">
        <f t="shared" si="96"/>
        <v>1646.6666666666667</v>
      </c>
      <c r="BQ28" s="3">
        <f t="shared" si="97"/>
        <v>164.66666666666666</v>
      </c>
      <c r="BR28" s="3">
        <f t="shared" si="98"/>
        <v>2074.7999999999997</v>
      </c>
      <c r="BS28" s="3">
        <f t="shared" si="99"/>
        <v>355.68</v>
      </c>
      <c r="BT28" s="3">
        <f t="shared" si="100"/>
        <v>237.12</v>
      </c>
      <c r="BU28" s="3">
        <f t="shared" si="101"/>
        <v>569.08799999999997</v>
      </c>
      <c r="BV28" s="53">
        <f t="shared" si="50"/>
        <v>142272</v>
      </c>
      <c r="BW28" s="53">
        <f t="shared" si="51"/>
        <v>11292</v>
      </c>
      <c r="BX28" s="53">
        <f t="shared" si="52"/>
        <v>7740</v>
      </c>
      <c r="BY28" s="53">
        <f t="shared" si="53"/>
        <v>0</v>
      </c>
      <c r="BZ28" s="53">
        <f t="shared" si="54"/>
        <v>0</v>
      </c>
      <c r="CA28" s="53">
        <f t="shared" si="55"/>
        <v>5928</v>
      </c>
      <c r="CB28" s="53">
        <f t="shared" si="56"/>
        <v>19760</v>
      </c>
      <c r="CC28" s="53">
        <f t="shared" si="57"/>
        <v>1976</v>
      </c>
      <c r="CD28" s="53">
        <f t="shared" si="58"/>
        <v>24897.599999999999</v>
      </c>
      <c r="CE28" s="53">
        <f t="shared" si="59"/>
        <v>4268.16</v>
      </c>
      <c r="CF28" s="53">
        <f t="shared" si="60"/>
        <v>2845.44</v>
      </c>
      <c r="CG28" s="53">
        <f t="shared" si="61"/>
        <v>6829.0559999999996</v>
      </c>
      <c r="CH28" s="54">
        <f t="shared" si="62"/>
        <v>227808.25600000002</v>
      </c>
      <c r="CI28" s="46"/>
      <c r="CJ28" s="46"/>
      <c r="CK28" s="46"/>
      <c r="CL28" s="46"/>
      <c r="CM28" s="46"/>
      <c r="CN28" s="46"/>
      <c r="CO28" s="46"/>
      <c r="CP28" s="46"/>
    </row>
    <row r="29" spans="1:94" ht="27" customHeight="1" x14ac:dyDescent="0.2">
      <c r="A29" s="8">
        <v>25</v>
      </c>
      <c r="B29" s="8">
        <v>462</v>
      </c>
      <c r="C29" s="43" t="s">
        <v>171</v>
      </c>
      <c r="D29" s="44" t="str">
        <f t="shared" si="0"/>
        <v>Cardenas</v>
      </c>
      <c r="E29" s="44" t="str">
        <f t="shared" si="1"/>
        <v xml:space="preserve">Martos </v>
      </c>
      <c r="F29" s="44" t="str">
        <f t="shared" si="2"/>
        <v>Salvador</v>
      </c>
      <c r="G29" s="8">
        <v>2</v>
      </c>
      <c r="H29" s="8" t="s">
        <v>170</v>
      </c>
      <c r="I29" s="45" t="s">
        <v>34</v>
      </c>
      <c r="J29" s="45" t="s">
        <v>140</v>
      </c>
      <c r="K29" s="46" t="s">
        <v>6</v>
      </c>
      <c r="L29" s="46" t="s">
        <v>5</v>
      </c>
      <c r="M29" s="46" t="s">
        <v>11</v>
      </c>
      <c r="N29" s="47" t="str">
        <f>IF(H29&gt;0,MID(H29,9,2)&amp;"/"&amp;MID(H29,7,2)&amp;"/"&amp;MID(H29,5,2),0)</f>
        <v>23/01/60</v>
      </c>
      <c r="O29" s="48">
        <f t="shared" ca="1" si="3"/>
        <v>57</v>
      </c>
      <c r="P29" s="1">
        <v>41380</v>
      </c>
      <c r="Q29" s="2" t="str">
        <f t="shared" si="4"/>
        <v>5 años, 8 meses, 15 dias.</v>
      </c>
      <c r="R29" s="2">
        <f t="shared" si="5"/>
        <v>5</v>
      </c>
      <c r="S29" s="2">
        <f t="shared" si="6"/>
        <v>68</v>
      </c>
      <c r="T29" s="2">
        <f t="shared" si="7"/>
        <v>2085</v>
      </c>
      <c r="U29" s="46" t="s">
        <v>3</v>
      </c>
      <c r="V29" s="46">
        <v>23</v>
      </c>
      <c r="W29" s="46" t="s">
        <v>16</v>
      </c>
      <c r="X29" s="46">
        <v>40</v>
      </c>
      <c r="Y29" s="46" t="s">
        <v>15</v>
      </c>
      <c r="Z29" s="46" t="s">
        <v>1</v>
      </c>
      <c r="AA29" s="49">
        <f>IF(C29="Plaza sin presupuesto",0,IF(W29="si",IF(X29=30,VLOOKUP(V29,'[1]Tablas despensa y pasaje 2018'!$A$3:$I$38,2,0),IF(PLANTILLA!X29=40,VLOOKUP(PLANTILLA!V29,'[1]Tablas despensa y pasaje 2018'!$A$3:$I$38,6,0))),IF(X29=30,VLOOKUP(V29,'[1]Tablas despensa y pasaje 2018'!$A$41:$I$48,2,0),IF(X29=40,VLOOKUP(V29,'[1]Tablas despensa y pasaje 2018'!$A$41:$I$48,6,0),0))))</f>
        <v>38208</v>
      </c>
      <c r="AB29" s="49">
        <f>IF(C29="Plaza sin presupuesto",0,IF(W29="si",IF(X29=30,VLOOKUP(V29,'[1]Tablas despensa y pasaje 2018'!$A$3:$I$38,3,0),IF(PLANTILLA!X29=40,VLOOKUP(PLANTILLA!V29,'[1]Tablas despensa y pasaje 2018'!$A$3:$I$38,7,0))),IF(X29=30,VLOOKUP(V29,'[1]Tablas despensa y pasaje 2018'!$A$41:$I$48,3,0),IF(X29=40,VLOOKUP(V29,'[1]Tablas despensa y pasaje 2018'!$A$41:$I$48,7,0),0))))</f>
        <v>1808</v>
      </c>
      <c r="AC29" s="49">
        <f>IF(C29="Plaza sin presupuesto",0,IF(W29="si",IF(X29=30,VLOOKUP(V29,'[1]Tablas despensa y pasaje 2018'!$A$3:$I$38,4,0),IF(PLANTILLA!X29=40,VLOOKUP(PLANTILLA!V29,'[1]Tablas despensa y pasaje 2018'!$A$3:$I$38,8,0))),IF(X29=30,VLOOKUP(V29,'[1]Tablas despensa y pasaje 2018'!$A$41:$I$48,4,0),IF(X29=40,VLOOKUP(V29,'[1]Tablas despensa y pasaje 2018'!$A$41:$I$48,8,0),0))))</f>
        <v>1299</v>
      </c>
      <c r="AD29" s="49">
        <f t="shared" si="8"/>
        <v>0</v>
      </c>
      <c r="AE29" s="49">
        <f t="shared" si="9"/>
        <v>176.72</v>
      </c>
      <c r="AF29" s="49">
        <f t="shared" si="63"/>
        <v>19104</v>
      </c>
      <c r="AG29" s="49">
        <f t="shared" si="10"/>
        <v>63679.999999999993</v>
      </c>
      <c r="AH29" s="49">
        <f t="shared" si="11"/>
        <v>6368</v>
      </c>
      <c r="AI29" s="49">
        <f t="shared" si="64"/>
        <v>6686.4</v>
      </c>
      <c r="AJ29" s="49">
        <f t="shared" si="65"/>
        <v>1146.24</v>
      </c>
      <c r="AK29" s="49">
        <f t="shared" si="66"/>
        <v>764.16</v>
      </c>
      <c r="AL29" s="49">
        <f t="shared" si="67"/>
        <v>1833.9840000000002</v>
      </c>
      <c r="AM29" s="50">
        <f>IF((SUM(AA29:AE29)/2)=0,0,(((((SUM(AA29:AE29)/2)-(VLOOKUP((SUM(AA29:AE29)/2),'[1]Tablas ISR'!$A$4:$D$14,1,TRUE)))*(VLOOKUP((SUM(AA29:AE29)/2),'[1]Tablas ISR'!$A$4:$D$14,4,TRUE)))/100)+(VLOOKUP((SUM(AA29:AE29)/2),'[1]Tablas ISR'!$A$4:$D$14,3,TRUE)))*2)</f>
        <v>8213.4600000000009</v>
      </c>
      <c r="AN29" s="51">
        <f t="shared" si="68"/>
        <v>4393.92</v>
      </c>
      <c r="AO29" s="49">
        <f t="shared" si="69"/>
        <v>19104</v>
      </c>
      <c r="AP29" s="49">
        <f t="shared" si="70"/>
        <v>904</v>
      </c>
      <c r="AQ29" s="49">
        <f t="shared" si="71"/>
        <v>649.5</v>
      </c>
      <c r="AR29" s="49">
        <f t="shared" si="72"/>
        <v>0</v>
      </c>
      <c r="AS29" s="49">
        <f t="shared" si="73"/>
        <v>88.36</v>
      </c>
      <c r="AT29" s="49">
        <f t="shared" si="74"/>
        <v>3343.2</v>
      </c>
      <c r="AU29" s="49">
        <f t="shared" si="75"/>
        <v>573.12</v>
      </c>
      <c r="AV29" s="49">
        <f t="shared" si="76"/>
        <v>916.99200000000008</v>
      </c>
      <c r="AW29" s="52">
        <f t="shared" si="77"/>
        <v>14442.170000000002</v>
      </c>
      <c r="AX29" s="3">
        <f t="shared" si="78"/>
        <v>1273.5999999999999</v>
      </c>
      <c r="AY29" s="3">
        <f t="shared" si="79"/>
        <v>60.266666666666666</v>
      </c>
      <c r="AZ29" s="3">
        <f t="shared" si="80"/>
        <v>43.3</v>
      </c>
      <c r="BA29" s="3">
        <f t="shared" si="81"/>
        <v>0</v>
      </c>
      <c r="BB29" s="3">
        <f t="shared" si="82"/>
        <v>5.8906666666666663</v>
      </c>
      <c r="BC29" s="3">
        <f t="shared" si="83"/>
        <v>52.339726027397262</v>
      </c>
      <c r="BD29" s="3">
        <f t="shared" si="84"/>
        <v>174.46575342465752</v>
      </c>
      <c r="BE29" s="3">
        <f t="shared" si="85"/>
        <v>17.446575342465753</v>
      </c>
      <c r="BF29" s="3">
        <f t="shared" si="86"/>
        <v>222.88</v>
      </c>
      <c r="BG29" s="3">
        <f t="shared" si="87"/>
        <v>38.207999999999998</v>
      </c>
      <c r="BH29" s="3">
        <f t="shared" si="88"/>
        <v>25.471999999999998</v>
      </c>
      <c r="BI29" s="3">
        <f t="shared" si="89"/>
        <v>61.132800000000003</v>
      </c>
      <c r="BJ29" s="3">
        <f t="shared" si="90"/>
        <v>38208</v>
      </c>
      <c r="BK29" s="3">
        <f t="shared" si="91"/>
        <v>1808</v>
      </c>
      <c r="BL29" s="3">
        <f t="shared" si="92"/>
        <v>1299</v>
      </c>
      <c r="BM29" s="3">
        <f t="shared" si="93"/>
        <v>0</v>
      </c>
      <c r="BN29" s="3">
        <f t="shared" si="94"/>
        <v>176.72</v>
      </c>
      <c r="BO29" s="3">
        <f t="shared" si="95"/>
        <v>1592</v>
      </c>
      <c r="BP29" s="3">
        <f t="shared" si="96"/>
        <v>5306.6666666666661</v>
      </c>
      <c r="BQ29" s="3">
        <f t="shared" si="97"/>
        <v>530.66666666666663</v>
      </c>
      <c r="BR29" s="3">
        <f t="shared" si="98"/>
        <v>6686.4</v>
      </c>
      <c r="BS29" s="3">
        <f t="shared" si="99"/>
        <v>1146.24</v>
      </c>
      <c r="BT29" s="3">
        <f t="shared" si="100"/>
        <v>764.16</v>
      </c>
      <c r="BU29" s="3">
        <f t="shared" si="101"/>
        <v>1833.9840000000002</v>
      </c>
      <c r="BV29" s="53">
        <f t="shared" si="50"/>
        <v>458496</v>
      </c>
      <c r="BW29" s="53">
        <f t="shared" si="51"/>
        <v>21696</v>
      </c>
      <c r="BX29" s="53">
        <f t="shared" si="52"/>
        <v>15588</v>
      </c>
      <c r="BY29" s="53">
        <f t="shared" si="53"/>
        <v>0</v>
      </c>
      <c r="BZ29" s="53">
        <f t="shared" si="54"/>
        <v>2120.64</v>
      </c>
      <c r="CA29" s="53">
        <f t="shared" si="55"/>
        <v>19104</v>
      </c>
      <c r="CB29" s="53">
        <f t="shared" si="56"/>
        <v>63679.999999999993</v>
      </c>
      <c r="CC29" s="53">
        <f t="shared" si="57"/>
        <v>6368</v>
      </c>
      <c r="CD29" s="53">
        <f t="shared" si="58"/>
        <v>80236.799999999988</v>
      </c>
      <c r="CE29" s="53">
        <f t="shared" si="59"/>
        <v>13754.880000000001</v>
      </c>
      <c r="CF29" s="53">
        <f t="shared" si="60"/>
        <v>9169.92</v>
      </c>
      <c r="CG29" s="53">
        <f t="shared" si="61"/>
        <v>22007.808000000001</v>
      </c>
      <c r="CH29" s="54">
        <f t="shared" si="62"/>
        <v>712222.04799999995</v>
      </c>
      <c r="CI29" s="46"/>
      <c r="CJ29" s="46"/>
      <c r="CK29" s="46"/>
      <c r="CL29" s="46"/>
      <c r="CM29" s="46"/>
      <c r="CN29" s="46"/>
      <c r="CO29" s="46"/>
      <c r="CP29" s="46"/>
    </row>
    <row r="30" spans="1:94" ht="27" customHeight="1" x14ac:dyDescent="0.2">
      <c r="A30" s="8">
        <v>26</v>
      </c>
      <c r="B30" s="8">
        <v>463</v>
      </c>
      <c r="C30" s="43" t="s">
        <v>169</v>
      </c>
      <c r="D30" s="44" t="str">
        <f t="shared" si="0"/>
        <v>Ibarra</v>
      </c>
      <c r="E30" s="44" t="str">
        <f t="shared" si="1"/>
        <v xml:space="preserve">Villanueva </v>
      </c>
      <c r="F30" s="44" t="str">
        <f t="shared" si="2"/>
        <v>Denisse Virginia</v>
      </c>
      <c r="G30" s="8">
        <v>2</v>
      </c>
      <c r="H30" s="8" t="s">
        <v>168</v>
      </c>
      <c r="I30" s="45" t="s">
        <v>167</v>
      </c>
      <c r="J30" s="45" t="s">
        <v>140</v>
      </c>
      <c r="K30" s="46" t="s">
        <v>23</v>
      </c>
      <c r="L30" s="46" t="s">
        <v>17</v>
      </c>
      <c r="M30" s="46" t="s">
        <v>30</v>
      </c>
      <c r="N30" s="47" t="str">
        <f>IF(H30&gt;0,MID(H30,9,2)&amp;"/"&amp;MID(H30,7,2)&amp;"/"&amp;MID(H30,5,2),0)</f>
        <v>29/01/80</v>
      </c>
      <c r="O30" s="48">
        <f t="shared" ca="1" si="3"/>
        <v>37</v>
      </c>
      <c r="P30" s="1">
        <v>41944</v>
      </c>
      <c r="Q30" s="2" t="str">
        <f t="shared" si="4"/>
        <v>4 años, 1 meses, 30 dias.</v>
      </c>
      <c r="R30" s="2">
        <f t="shared" si="5"/>
        <v>4</v>
      </c>
      <c r="S30" s="2">
        <f t="shared" si="6"/>
        <v>49</v>
      </c>
      <c r="T30" s="2">
        <f t="shared" si="7"/>
        <v>1521</v>
      </c>
      <c r="U30" s="46" t="s">
        <v>3</v>
      </c>
      <c r="V30" s="46">
        <v>21</v>
      </c>
      <c r="W30" s="46" t="s">
        <v>16</v>
      </c>
      <c r="X30" s="46">
        <v>40</v>
      </c>
      <c r="Y30" s="46" t="s">
        <v>15</v>
      </c>
      <c r="Z30" s="46" t="s">
        <v>1</v>
      </c>
      <c r="AA30" s="49">
        <f>IF(C30="Plaza sin presupuesto",0,IF(W30="si",IF(X30=30,VLOOKUP(V30,'[1]Tablas despensa y pasaje 2018'!$A$3:$I$38,2,0),IF(PLANTILLA!X30=40,VLOOKUP(PLANTILLA!V30,'[1]Tablas despensa y pasaje 2018'!$A$3:$I$38,6,0))),IF(X30=30,VLOOKUP(V30,'[1]Tablas despensa y pasaje 2018'!$A$41:$I$48,2,0),IF(X30=40,VLOOKUP(V30,'[1]Tablas despensa y pasaje 2018'!$A$41:$I$48,6,0),0))))</f>
        <v>30883</v>
      </c>
      <c r="AB30" s="49">
        <f>IF(C30="Plaza sin presupuesto",0,IF(W30="si",IF(X30=30,VLOOKUP(V30,'[1]Tablas despensa y pasaje 2018'!$A$3:$I$38,3,0),IF(PLANTILLA!X30=40,VLOOKUP(PLANTILLA!V30,'[1]Tablas despensa y pasaje 2018'!$A$3:$I$38,7,0))),IF(X30=30,VLOOKUP(V30,'[1]Tablas despensa y pasaje 2018'!$A$41:$I$48,3,0),IF(X30=40,VLOOKUP(V30,'[1]Tablas despensa y pasaje 2018'!$A$41:$I$48,7,0),0))))</f>
        <v>1671</v>
      </c>
      <c r="AC30" s="49">
        <f>IF(C30="Plaza sin presupuesto",0,IF(W30="si",IF(X30=30,VLOOKUP(V30,'[1]Tablas despensa y pasaje 2018'!$A$3:$I$38,4,0),IF(PLANTILLA!X30=40,VLOOKUP(PLANTILLA!V30,'[1]Tablas despensa y pasaje 2018'!$A$3:$I$38,8,0))),IF(X30=30,VLOOKUP(V30,'[1]Tablas despensa y pasaje 2018'!$A$41:$I$48,4,0),IF(X30=40,VLOOKUP(V30,'[1]Tablas despensa y pasaje 2018'!$A$41:$I$48,8,0),0))))</f>
        <v>1133</v>
      </c>
      <c r="AD30" s="49">
        <f t="shared" si="8"/>
        <v>0</v>
      </c>
      <c r="AE30" s="49">
        <f t="shared" si="9"/>
        <v>0</v>
      </c>
      <c r="AF30" s="49">
        <f t="shared" si="63"/>
        <v>15441.5</v>
      </c>
      <c r="AG30" s="49">
        <f t="shared" si="10"/>
        <v>51471.666666666672</v>
      </c>
      <c r="AH30" s="49">
        <f t="shared" si="11"/>
        <v>5147.166666666667</v>
      </c>
      <c r="AI30" s="49">
        <f t="shared" si="64"/>
        <v>5404.5249999999996</v>
      </c>
      <c r="AJ30" s="49">
        <f t="shared" si="65"/>
        <v>926.49</v>
      </c>
      <c r="AK30" s="49">
        <f t="shared" si="66"/>
        <v>617.66</v>
      </c>
      <c r="AL30" s="49">
        <f t="shared" si="67"/>
        <v>1482.384</v>
      </c>
      <c r="AM30" s="50">
        <f>IF((SUM(AA30:AE30)/2)=0,0,(((((SUM(AA30:AE30)/2)-(VLOOKUP((SUM(AA30:AE30)/2),'[1]Tablas ISR'!$A$4:$D$14,1,TRUE)))*(VLOOKUP((SUM(AA30:AE30)/2),'[1]Tablas ISR'!$A$4:$D$14,4,TRUE)))/100)+(VLOOKUP((SUM(AA30:AE30)/2),'[1]Tablas ISR'!$A$4:$D$14,3,TRUE)))*2)</f>
        <v>6130.5274559999998</v>
      </c>
      <c r="AN30" s="51">
        <f t="shared" si="68"/>
        <v>3551.5450000000001</v>
      </c>
      <c r="AO30" s="49">
        <f t="shared" si="69"/>
        <v>15441.5</v>
      </c>
      <c r="AP30" s="49">
        <f t="shared" si="70"/>
        <v>835.5</v>
      </c>
      <c r="AQ30" s="49">
        <f t="shared" si="71"/>
        <v>566.5</v>
      </c>
      <c r="AR30" s="49">
        <f t="shared" si="72"/>
        <v>0</v>
      </c>
      <c r="AS30" s="49">
        <f t="shared" si="73"/>
        <v>0</v>
      </c>
      <c r="AT30" s="49">
        <f t="shared" si="74"/>
        <v>2702.2624999999998</v>
      </c>
      <c r="AU30" s="49">
        <f t="shared" si="75"/>
        <v>463.245</v>
      </c>
      <c r="AV30" s="49">
        <f t="shared" si="76"/>
        <v>741.19200000000001</v>
      </c>
      <c r="AW30" s="52">
        <f t="shared" si="77"/>
        <v>12002.463771999999</v>
      </c>
      <c r="AX30" s="3">
        <f t="shared" si="78"/>
        <v>1029.4333333333334</v>
      </c>
      <c r="AY30" s="3">
        <f t="shared" si="79"/>
        <v>55.7</v>
      </c>
      <c r="AZ30" s="3">
        <f t="shared" si="80"/>
        <v>37.766666666666666</v>
      </c>
      <c r="BA30" s="3">
        <f t="shared" si="81"/>
        <v>0</v>
      </c>
      <c r="BB30" s="3">
        <f t="shared" si="82"/>
        <v>0</v>
      </c>
      <c r="BC30" s="3">
        <f t="shared" si="83"/>
        <v>42.305479452054797</v>
      </c>
      <c r="BD30" s="3">
        <f t="shared" si="84"/>
        <v>141.01826484018267</v>
      </c>
      <c r="BE30" s="3">
        <f t="shared" si="85"/>
        <v>14.101826484018266</v>
      </c>
      <c r="BF30" s="3">
        <f t="shared" si="86"/>
        <v>180.15083333333331</v>
      </c>
      <c r="BG30" s="3">
        <f t="shared" si="87"/>
        <v>30.882999999999999</v>
      </c>
      <c r="BH30" s="3">
        <f t="shared" si="88"/>
        <v>20.588666666666665</v>
      </c>
      <c r="BI30" s="3">
        <f t="shared" si="89"/>
        <v>49.412799999999997</v>
      </c>
      <c r="BJ30" s="3">
        <f t="shared" si="90"/>
        <v>30883</v>
      </c>
      <c r="BK30" s="3">
        <f t="shared" si="91"/>
        <v>1671</v>
      </c>
      <c r="BL30" s="3">
        <f t="shared" si="92"/>
        <v>1133</v>
      </c>
      <c r="BM30" s="3">
        <f t="shared" si="93"/>
        <v>0</v>
      </c>
      <c r="BN30" s="3">
        <f t="shared" si="94"/>
        <v>0</v>
      </c>
      <c r="BO30" s="3">
        <f t="shared" si="95"/>
        <v>1286.7916666666667</v>
      </c>
      <c r="BP30" s="3">
        <f t="shared" si="96"/>
        <v>4289.3055555555557</v>
      </c>
      <c r="BQ30" s="3">
        <f t="shared" si="97"/>
        <v>428.9305555555556</v>
      </c>
      <c r="BR30" s="3">
        <f t="shared" si="98"/>
        <v>5404.5249999999996</v>
      </c>
      <c r="BS30" s="3">
        <f t="shared" si="99"/>
        <v>926.49</v>
      </c>
      <c r="BT30" s="3">
        <f t="shared" si="100"/>
        <v>617.66</v>
      </c>
      <c r="BU30" s="3">
        <f t="shared" si="101"/>
        <v>1482.384</v>
      </c>
      <c r="BV30" s="53">
        <f t="shared" si="50"/>
        <v>370596</v>
      </c>
      <c r="BW30" s="53">
        <f t="shared" si="51"/>
        <v>20052</v>
      </c>
      <c r="BX30" s="53">
        <f t="shared" si="52"/>
        <v>13596</v>
      </c>
      <c r="BY30" s="53">
        <f t="shared" si="53"/>
        <v>0</v>
      </c>
      <c r="BZ30" s="53">
        <f t="shared" si="54"/>
        <v>0</v>
      </c>
      <c r="CA30" s="53">
        <f t="shared" si="55"/>
        <v>15441.5</v>
      </c>
      <c r="CB30" s="53">
        <f t="shared" si="56"/>
        <v>51471.666666666672</v>
      </c>
      <c r="CC30" s="53">
        <f t="shared" si="57"/>
        <v>5147.166666666667</v>
      </c>
      <c r="CD30" s="53">
        <f t="shared" si="58"/>
        <v>64854.299999999996</v>
      </c>
      <c r="CE30" s="53">
        <f t="shared" si="59"/>
        <v>11117.880000000001</v>
      </c>
      <c r="CF30" s="53">
        <f t="shared" si="60"/>
        <v>7411.92</v>
      </c>
      <c r="CG30" s="53">
        <f t="shared" si="61"/>
        <v>17788.608</v>
      </c>
      <c r="CH30" s="54">
        <f t="shared" si="62"/>
        <v>577477.04133333347</v>
      </c>
      <c r="CI30" s="46"/>
      <c r="CJ30" s="46"/>
      <c r="CK30" s="46"/>
      <c r="CL30" s="46"/>
      <c r="CM30" s="46"/>
      <c r="CN30" s="46"/>
      <c r="CO30" s="46"/>
      <c r="CP30" s="46"/>
    </row>
    <row r="31" spans="1:94" ht="27" customHeight="1" x14ac:dyDescent="0.2">
      <c r="A31" s="8">
        <v>27</v>
      </c>
      <c r="B31" s="8">
        <v>464</v>
      </c>
      <c r="C31" s="43" t="s">
        <v>166</v>
      </c>
      <c r="D31" s="44" t="str">
        <f t="shared" si="0"/>
        <v>Delgadillo</v>
      </c>
      <c r="E31" s="44" t="str">
        <f t="shared" si="1"/>
        <v xml:space="preserve">Rojas </v>
      </c>
      <c r="F31" s="44" t="str">
        <f t="shared" si="2"/>
        <v>Dante</v>
      </c>
      <c r="G31" s="8">
        <v>2</v>
      </c>
      <c r="H31" s="8" t="s">
        <v>165</v>
      </c>
      <c r="I31" s="45" t="s">
        <v>164</v>
      </c>
      <c r="J31" s="45" t="s">
        <v>140</v>
      </c>
      <c r="K31" s="46" t="s">
        <v>6</v>
      </c>
      <c r="L31" s="46" t="s">
        <v>5</v>
      </c>
      <c r="M31" s="46" t="s">
        <v>30</v>
      </c>
      <c r="N31" s="47" t="str">
        <f>IF(H31&gt;0,MID(H31,9,2)&amp;"/"&amp;MID(H31,7,2)&amp;"/"&amp;MID(H31,5,2),0)</f>
        <v>02/02/74</v>
      </c>
      <c r="O31" s="48">
        <f t="shared" ca="1" si="3"/>
        <v>43</v>
      </c>
      <c r="P31" s="1">
        <v>41652</v>
      </c>
      <c r="Q31" s="2" t="str">
        <f t="shared" si="4"/>
        <v>4 años, 11 meses, 18 dias.</v>
      </c>
      <c r="R31" s="2">
        <f t="shared" si="5"/>
        <v>4</v>
      </c>
      <c r="S31" s="2">
        <f t="shared" si="6"/>
        <v>59</v>
      </c>
      <c r="T31" s="2">
        <f t="shared" si="7"/>
        <v>1813</v>
      </c>
      <c r="U31" s="46" t="s">
        <v>3</v>
      </c>
      <c r="V31" s="46">
        <v>21</v>
      </c>
      <c r="W31" s="46" t="s">
        <v>16</v>
      </c>
      <c r="X31" s="46">
        <v>40</v>
      </c>
      <c r="Y31" s="46" t="s">
        <v>15</v>
      </c>
      <c r="Z31" s="46" t="s">
        <v>1</v>
      </c>
      <c r="AA31" s="49">
        <f>IF(C31="Plaza sin presupuesto",0,IF(W31="si",IF(X31=30,VLOOKUP(V31,'[1]Tablas despensa y pasaje 2018'!$A$3:$I$38,2,0),IF(PLANTILLA!X31=40,VLOOKUP(PLANTILLA!V31,'[1]Tablas despensa y pasaje 2018'!$A$3:$I$38,6,0))),IF(X31=30,VLOOKUP(V31,'[1]Tablas despensa y pasaje 2018'!$A$41:$I$48,2,0),IF(X31=40,VLOOKUP(V31,'[1]Tablas despensa y pasaje 2018'!$A$41:$I$48,6,0),0))))</f>
        <v>30883</v>
      </c>
      <c r="AB31" s="49">
        <f>IF(C31="Plaza sin presupuesto",0,IF(W31="si",IF(X31=30,VLOOKUP(V31,'[1]Tablas despensa y pasaje 2018'!$A$3:$I$38,3,0),IF(PLANTILLA!X31=40,VLOOKUP(PLANTILLA!V31,'[1]Tablas despensa y pasaje 2018'!$A$3:$I$38,7,0))),IF(X31=30,VLOOKUP(V31,'[1]Tablas despensa y pasaje 2018'!$A$41:$I$48,3,0),IF(X31=40,VLOOKUP(V31,'[1]Tablas despensa y pasaje 2018'!$A$41:$I$48,7,0),0))))</f>
        <v>1671</v>
      </c>
      <c r="AC31" s="49">
        <f>IF(C31="Plaza sin presupuesto",0,IF(W31="si",IF(X31=30,VLOOKUP(V31,'[1]Tablas despensa y pasaje 2018'!$A$3:$I$38,4,0),IF(PLANTILLA!X31=40,VLOOKUP(PLANTILLA!V31,'[1]Tablas despensa y pasaje 2018'!$A$3:$I$38,8,0))),IF(X31=30,VLOOKUP(V31,'[1]Tablas despensa y pasaje 2018'!$A$41:$I$48,4,0),IF(X31=40,VLOOKUP(V31,'[1]Tablas despensa y pasaje 2018'!$A$41:$I$48,8,0),0))))</f>
        <v>1133</v>
      </c>
      <c r="AD31" s="49">
        <f t="shared" si="8"/>
        <v>0</v>
      </c>
      <c r="AE31" s="49">
        <f t="shared" si="9"/>
        <v>0</v>
      </c>
      <c r="AF31" s="49">
        <f t="shared" si="63"/>
        <v>15441.5</v>
      </c>
      <c r="AG31" s="49">
        <f t="shared" si="10"/>
        <v>51471.666666666672</v>
      </c>
      <c r="AH31" s="49">
        <f t="shared" si="11"/>
        <v>5147.166666666667</v>
      </c>
      <c r="AI31" s="49">
        <f t="shared" si="64"/>
        <v>5404.5249999999996</v>
      </c>
      <c r="AJ31" s="49">
        <f t="shared" si="65"/>
        <v>926.49</v>
      </c>
      <c r="AK31" s="49">
        <f t="shared" si="66"/>
        <v>617.66</v>
      </c>
      <c r="AL31" s="49">
        <f t="shared" si="67"/>
        <v>1482.384</v>
      </c>
      <c r="AM31" s="50">
        <f>IF((SUM(AA31:AE31)/2)=0,0,(((((SUM(AA31:AE31)/2)-(VLOOKUP((SUM(AA31:AE31)/2),'[1]Tablas ISR'!$A$4:$D$14,1,TRUE)))*(VLOOKUP((SUM(AA31:AE31)/2),'[1]Tablas ISR'!$A$4:$D$14,4,TRUE)))/100)+(VLOOKUP((SUM(AA31:AE31)/2),'[1]Tablas ISR'!$A$4:$D$14,3,TRUE)))*2)</f>
        <v>6130.5274559999998</v>
      </c>
      <c r="AN31" s="51">
        <f t="shared" si="68"/>
        <v>3551.5450000000001</v>
      </c>
      <c r="AO31" s="49">
        <f t="shared" si="69"/>
        <v>15441.5</v>
      </c>
      <c r="AP31" s="49">
        <f t="shared" si="70"/>
        <v>835.5</v>
      </c>
      <c r="AQ31" s="49">
        <f t="shared" si="71"/>
        <v>566.5</v>
      </c>
      <c r="AR31" s="49">
        <f t="shared" si="72"/>
        <v>0</v>
      </c>
      <c r="AS31" s="49">
        <f t="shared" si="73"/>
        <v>0</v>
      </c>
      <c r="AT31" s="49">
        <f t="shared" si="74"/>
        <v>2702.2624999999998</v>
      </c>
      <c r="AU31" s="49">
        <f t="shared" si="75"/>
        <v>463.245</v>
      </c>
      <c r="AV31" s="49">
        <f t="shared" si="76"/>
        <v>741.19200000000001</v>
      </c>
      <c r="AW31" s="52">
        <f t="shared" si="77"/>
        <v>12002.463771999999</v>
      </c>
      <c r="AX31" s="3">
        <f t="shared" si="78"/>
        <v>1029.4333333333334</v>
      </c>
      <c r="AY31" s="3">
        <f t="shared" si="79"/>
        <v>55.7</v>
      </c>
      <c r="AZ31" s="3">
        <f t="shared" si="80"/>
        <v>37.766666666666666</v>
      </c>
      <c r="BA31" s="3">
        <f t="shared" si="81"/>
        <v>0</v>
      </c>
      <c r="BB31" s="3">
        <f t="shared" si="82"/>
        <v>0</v>
      </c>
      <c r="BC31" s="3">
        <f t="shared" si="83"/>
        <v>42.305479452054797</v>
      </c>
      <c r="BD31" s="3">
        <f t="shared" si="84"/>
        <v>141.01826484018267</v>
      </c>
      <c r="BE31" s="3">
        <f t="shared" si="85"/>
        <v>14.101826484018266</v>
      </c>
      <c r="BF31" s="3">
        <f t="shared" si="86"/>
        <v>180.15083333333331</v>
      </c>
      <c r="BG31" s="3">
        <f t="shared" si="87"/>
        <v>30.882999999999999</v>
      </c>
      <c r="BH31" s="3">
        <f t="shared" si="88"/>
        <v>20.588666666666665</v>
      </c>
      <c r="BI31" s="3">
        <f t="shared" si="89"/>
        <v>49.412799999999997</v>
      </c>
      <c r="BJ31" s="3">
        <f t="shared" si="90"/>
        <v>30883</v>
      </c>
      <c r="BK31" s="3">
        <f t="shared" si="91"/>
        <v>1671</v>
      </c>
      <c r="BL31" s="3">
        <f t="shared" si="92"/>
        <v>1133</v>
      </c>
      <c r="BM31" s="3">
        <f t="shared" si="93"/>
        <v>0</v>
      </c>
      <c r="BN31" s="3">
        <f t="shared" si="94"/>
        <v>0</v>
      </c>
      <c r="BO31" s="3">
        <f t="shared" si="95"/>
        <v>1286.7916666666667</v>
      </c>
      <c r="BP31" s="3">
        <f t="shared" si="96"/>
        <v>4289.3055555555557</v>
      </c>
      <c r="BQ31" s="3">
        <f t="shared" si="97"/>
        <v>428.9305555555556</v>
      </c>
      <c r="BR31" s="3">
        <f t="shared" si="98"/>
        <v>5404.5249999999996</v>
      </c>
      <c r="BS31" s="3">
        <f t="shared" si="99"/>
        <v>926.49</v>
      </c>
      <c r="BT31" s="3">
        <f t="shared" si="100"/>
        <v>617.66</v>
      </c>
      <c r="BU31" s="3">
        <f t="shared" si="101"/>
        <v>1482.384</v>
      </c>
      <c r="BV31" s="53">
        <f t="shared" si="50"/>
        <v>370596</v>
      </c>
      <c r="BW31" s="53">
        <f t="shared" si="51"/>
        <v>20052</v>
      </c>
      <c r="BX31" s="53">
        <f t="shared" si="52"/>
        <v>13596</v>
      </c>
      <c r="BY31" s="53">
        <f t="shared" si="53"/>
        <v>0</v>
      </c>
      <c r="BZ31" s="53">
        <f t="shared" si="54"/>
        <v>0</v>
      </c>
      <c r="CA31" s="53">
        <f t="shared" si="55"/>
        <v>15441.5</v>
      </c>
      <c r="CB31" s="53">
        <f t="shared" si="56"/>
        <v>51471.666666666672</v>
      </c>
      <c r="CC31" s="53">
        <f t="shared" si="57"/>
        <v>5147.166666666667</v>
      </c>
      <c r="CD31" s="53">
        <f t="shared" si="58"/>
        <v>64854.299999999996</v>
      </c>
      <c r="CE31" s="53">
        <f t="shared" si="59"/>
        <v>11117.880000000001</v>
      </c>
      <c r="CF31" s="53">
        <f t="shared" si="60"/>
        <v>7411.92</v>
      </c>
      <c r="CG31" s="53">
        <f t="shared" si="61"/>
        <v>17788.608</v>
      </c>
      <c r="CH31" s="54">
        <f t="shared" si="62"/>
        <v>577477.04133333347</v>
      </c>
      <c r="CI31" s="46"/>
      <c r="CJ31" s="46"/>
      <c r="CK31" s="46"/>
      <c r="CL31" s="46"/>
      <c r="CM31" s="46"/>
      <c r="CN31" s="46"/>
      <c r="CO31" s="46"/>
      <c r="CP31" s="46"/>
    </row>
    <row r="32" spans="1:94" ht="27" customHeight="1" x14ac:dyDescent="0.2">
      <c r="A32" s="8">
        <v>28</v>
      </c>
      <c r="B32" s="8">
        <v>465</v>
      </c>
      <c r="C32" s="43" t="s">
        <v>163</v>
      </c>
      <c r="D32" s="44" t="str">
        <f t="shared" si="0"/>
        <v>Torres</v>
      </c>
      <c r="E32" s="44" t="str">
        <f t="shared" si="1"/>
        <v xml:space="preserve">Vázquez </v>
      </c>
      <c r="F32" s="44" t="str">
        <f t="shared" si="2"/>
        <v>José Alonso</v>
      </c>
      <c r="G32" s="8">
        <v>2</v>
      </c>
      <c r="H32" s="8" t="s">
        <v>162</v>
      </c>
      <c r="I32" s="45" t="s">
        <v>161</v>
      </c>
      <c r="J32" s="45" t="s">
        <v>140</v>
      </c>
      <c r="K32" s="46" t="s">
        <v>23</v>
      </c>
      <c r="L32" s="46" t="s">
        <v>5</v>
      </c>
      <c r="M32" s="46" t="s">
        <v>11</v>
      </c>
      <c r="N32" s="47" t="str">
        <f>IF(H32&gt;0,MID(H32,9,2)&amp;"/"&amp;MID(H32,7,2)&amp;"/"&amp;MID(H32,5,2),0)</f>
        <v>13/09/73</v>
      </c>
      <c r="O32" s="48">
        <f t="shared" ca="1" si="3"/>
        <v>44</v>
      </c>
      <c r="P32" s="1">
        <v>42720</v>
      </c>
      <c r="Q32" s="2" t="str">
        <f t="shared" si="4"/>
        <v>2 años, 0 meses, 15 dias.</v>
      </c>
      <c r="R32" s="2">
        <f t="shared" si="5"/>
        <v>2</v>
      </c>
      <c r="S32" s="2">
        <f t="shared" si="6"/>
        <v>24</v>
      </c>
      <c r="T32" s="2">
        <f t="shared" si="7"/>
        <v>745</v>
      </c>
      <c r="U32" s="46" t="s">
        <v>3</v>
      </c>
      <c r="V32" s="46">
        <v>17</v>
      </c>
      <c r="W32" s="46" t="s">
        <v>16</v>
      </c>
      <c r="X32" s="46">
        <v>40</v>
      </c>
      <c r="Y32" s="46" t="s">
        <v>15</v>
      </c>
      <c r="Z32" s="46" t="s">
        <v>1</v>
      </c>
      <c r="AA32" s="49">
        <f>IF(C32="Plaza sin presupuesto",0,IF(W32="si",IF(X32=30,VLOOKUP(V32,'[1]Tablas despensa y pasaje 2018'!$A$3:$I$38,2,0),IF(PLANTILLA!X32=40,VLOOKUP(PLANTILLA!V32,'[1]Tablas despensa y pasaje 2018'!$A$3:$I$38,6,0))),IF(X32=30,VLOOKUP(V32,'[1]Tablas despensa y pasaje 2018'!$A$41:$I$48,2,0),IF(X32=40,VLOOKUP(V32,'[1]Tablas despensa y pasaje 2018'!$A$41:$I$48,6,0),0))))</f>
        <v>19532</v>
      </c>
      <c r="AB32" s="49">
        <f>IF(C32="Plaza sin presupuesto",0,IF(W32="si",IF(X32=30,VLOOKUP(V32,'[1]Tablas despensa y pasaje 2018'!$A$3:$I$38,3,0),IF(PLANTILLA!X32=40,VLOOKUP(PLANTILLA!V32,'[1]Tablas despensa y pasaje 2018'!$A$3:$I$38,7,0))),IF(X32=30,VLOOKUP(V32,'[1]Tablas despensa y pasaje 2018'!$A$41:$I$48,3,0),IF(X32=40,VLOOKUP(V32,'[1]Tablas despensa y pasaje 2018'!$A$41:$I$48,7,0),0))))</f>
        <v>1286</v>
      </c>
      <c r="AC32" s="49">
        <f>IF(C32="Plaza sin presupuesto",0,IF(W32="si",IF(X32=30,VLOOKUP(V32,'[1]Tablas despensa y pasaje 2018'!$A$3:$I$38,4,0),IF(PLANTILLA!X32=40,VLOOKUP(PLANTILLA!V32,'[1]Tablas despensa y pasaje 2018'!$A$3:$I$38,8,0))),IF(X32=30,VLOOKUP(V32,'[1]Tablas despensa y pasaje 2018'!$A$41:$I$48,4,0),IF(X32=40,VLOOKUP(V32,'[1]Tablas despensa y pasaje 2018'!$A$41:$I$48,8,0),0))))</f>
        <v>857</v>
      </c>
      <c r="AD32" s="49">
        <f t="shared" si="8"/>
        <v>0</v>
      </c>
      <c r="AE32" s="49">
        <f t="shared" si="9"/>
        <v>0</v>
      </c>
      <c r="AF32" s="49">
        <f t="shared" si="63"/>
        <v>9766</v>
      </c>
      <c r="AG32" s="49">
        <f t="shared" si="10"/>
        <v>32553.333333333336</v>
      </c>
      <c r="AH32" s="49">
        <f t="shared" si="11"/>
        <v>3255.3333333333335</v>
      </c>
      <c r="AI32" s="49">
        <f t="shared" si="64"/>
        <v>3418.1</v>
      </c>
      <c r="AJ32" s="49">
        <f t="shared" si="65"/>
        <v>585.95999999999992</v>
      </c>
      <c r="AK32" s="49">
        <f t="shared" si="66"/>
        <v>390.64</v>
      </c>
      <c r="AL32" s="49">
        <f t="shared" si="67"/>
        <v>937.53600000000006</v>
      </c>
      <c r="AM32" s="50">
        <f>IF((SUM(AA32:AE32)/2)=0,0,(((((SUM(AA32:AE32)/2)-(VLOOKUP((SUM(AA32:AE32)/2),'[1]Tablas ISR'!$A$4:$D$14,1,TRUE)))*(VLOOKUP((SUM(AA32:AE32)/2),'[1]Tablas ISR'!$A$4:$D$14,4,TRUE)))/100)+(VLOOKUP((SUM(AA32:AE32)/2),'[1]Tablas ISR'!$A$4:$D$14,3,TRUE)))*2)</f>
        <v>3353.4312479999999</v>
      </c>
      <c r="AN32" s="51">
        <f t="shared" si="68"/>
        <v>2246.1800000000003</v>
      </c>
      <c r="AO32" s="49">
        <f t="shared" si="69"/>
        <v>9766</v>
      </c>
      <c r="AP32" s="49">
        <f t="shared" si="70"/>
        <v>643</v>
      </c>
      <c r="AQ32" s="49">
        <f t="shared" si="71"/>
        <v>428.5</v>
      </c>
      <c r="AR32" s="49">
        <f t="shared" si="72"/>
        <v>0</v>
      </c>
      <c r="AS32" s="49">
        <f t="shared" si="73"/>
        <v>0</v>
      </c>
      <c r="AT32" s="49">
        <f t="shared" si="74"/>
        <v>1709.05</v>
      </c>
      <c r="AU32" s="49">
        <f t="shared" si="75"/>
        <v>292.97999999999996</v>
      </c>
      <c r="AV32" s="49">
        <f t="shared" si="76"/>
        <v>468.76800000000003</v>
      </c>
      <c r="AW32" s="52">
        <f t="shared" si="77"/>
        <v>8037.6943759999995</v>
      </c>
      <c r="AX32" s="3">
        <f t="shared" si="78"/>
        <v>651.06666666666672</v>
      </c>
      <c r="AY32" s="3">
        <f t="shared" si="79"/>
        <v>42.866666666666667</v>
      </c>
      <c r="AZ32" s="3">
        <f t="shared" si="80"/>
        <v>28.566666666666666</v>
      </c>
      <c r="BA32" s="3">
        <f t="shared" si="81"/>
        <v>0</v>
      </c>
      <c r="BB32" s="3">
        <f t="shared" si="82"/>
        <v>0</v>
      </c>
      <c r="BC32" s="3">
        <f t="shared" si="83"/>
        <v>26.756164383561643</v>
      </c>
      <c r="BD32" s="3">
        <f t="shared" si="84"/>
        <v>89.18721461187215</v>
      </c>
      <c r="BE32" s="3">
        <f t="shared" si="85"/>
        <v>8.9187214611872143</v>
      </c>
      <c r="BF32" s="3">
        <f t="shared" si="86"/>
        <v>113.93666666666667</v>
      </c>
      <c r="BG32" s="3">
        <f t="shared" si="87"/>
        <v>19.531999999999996</v>
      </c>
      <c r="BH32" s="3">
        <f t="shared" si="88"/>
        <v>13.021333333333333</v>
      </c>
      <c r="BI32" s="3">
        <f t="shared" si="89"/>
        <v>31.251200000000001</v>
      </c>
      <c r="BJ32" s="3">
        <f t="shared" si="90"/>
        <v>19532</v>
      </c>
      <c r="BK32" s="3">
        <f t="shared" si="91"/>
        <v>1286</v>
      </c>
      <c r="BL32" s="3">
        <f t="shared" si="92"/>
        <v>857</v>
      </c>
      <c r="BM32" s="3">
        <f t="shared" si="93"/>
        <v>0</v>
      </c>
      <c r="BN32" s="3">
        <f t="shared" si="94"/>
        <v>0</v>
      </c>
      <c r="BO32" s="3">
        <f t="shared" si="95"/>
        <v>813.83333333333337</v>
      </c>
      <c r="BP32" s="3">
        <f t="shared" si="96"/>
        <v>2712.7777777777778</v>
      </c>
      <c r="BQ32" s="3">
        <f t="shared" si="97"/>
        <v>271.27777777777777</v>
      </c>
      <c r="BR32" s="3">
        <f t="shared" si="98"/>
        <v>3418.1</v>
      </c>
      <c r="BS32" s="3">
        <f t="shared" si="99"/>
        <v>585.95999999999992</v>
      </c>
      <c r="BT32" s="3">
        <f t="shared" si="100"/>
        <v>390.64</v>
      </c>
      <c r="BU32" s="3">
        <f t="shared" si="101"/>
        <v>937.53600000000006</v>
      </c>
      <c r="BV32" s="53">
        <f t="shared" si="50"/>
        <v>234384</v>
      </c>
      <c r="BW32" s="53">
        <f t="shared" si="51"/>
        <v>15432</v>
      </c>
      <c r="BX32" s="53">
        <f t="shared" si="52"/>
        <v>10284</v>
      </c>
      <c r="BY32" s="53">
        <f t="shared" si="53"/>
        <v>0</v>
      </c>
      <c r="BZ32" s="53">
        <f t="shared" si="54"/>
        <v>0</v>
      </c>
      <c r="CA32" s="53">
        <f t="shared" si="55"/>
        <v>9766</v>
      </c>
      <c r="CB32" s="53">
        <f t="shared" si="56"/>
        <v>32553.333333333336</v>
      </c>
      <c r="CC32" s="53">
        <f t="shared" si="57"/>
        <v>3255.3333333333335</v>
      </c>
      <c r="CD32" s="53">
        <f t="shared" si="58"/>
        <v>41017.199999999997</v>
      </c>
      <c r="CE32" s="53">
        <f t="shared" si="59"/>
        <v>7031.5199999999986</v>
      </c>
      <c r="CF32" s="53">
        <f t="shared" si="60"/>
        <v>4687.68</v>
      </c>
      <c r="CG32" s="53">
        <f t="shared" si="61"/>
        <v>11250.432000000001</v>
      </c>
      <c r="CH32" s="54">
        <f t="shared" si="62"/>
        <v>369661.49866666668</v>
      </c>
      <c r="CI32" s="46"/>
      <c r="CJ32" s="46"/>
      <c r="CK32" s="46"/>
      <c r="CL32" s="46"/>
      <c r="CM32" s="46"/>
      <c r="CN32" s="46"/>
      <c r="CO32" s="46"/>
      <c r="CP32" s="46"/>
    </row>
    <row r="33" spans="1:94" ht="27" customHeight="1" x14ac:dyDescent="0.2">
      <c r="A33" s="8">
        <v>29</v>
      </c>
      <c r="B33" s="8">
        <v>466</v>
      </c>
      <c r="C33" s="43" t="s">
        <v>160</v>
      </c>
      <c r="D33" s="44" t="str">
        <f t="shared" si="0"/>
        <v>Gutierrez</v>
      </c>
      <c r="E33" s="44" t="str">
        <f t="shared" si="1"/>
        <v xml:space="preserve">Guerrero </v>
      </c>
      <c r="F33" s="44" t="str">
        <f t="shared" si="2"/>
        <v>Jesus Abraham</v>
      </c>
      <c r="G33" s="8">
        <v>2</v>
      </c>
      <c r="H33" s="8" t="s">
        <v>159</v>
      </c>
      <c r="I33" s="45" t="s">
        <v>158</v>
      </c>
      <c r="J33" s="45" t="s">
        <v>140</v>
      </c>
      <c r="K33" s="46" t="s">
        <v>12</v>
      </c>
      <c r="L33" s="46" t="s">
        <v>5</v>
      </c>
      <c r="M33" s="46" t="s">
        <v>11</v>
      </c>
      <c r="N33" s="47" t="str">
        <f>IF(H33&gt;0,MID(H33,9,2)&amp;"/"&amp;MID(H33,7,2)&amp;"/"&amp;MID(H33,5,2),0)</f>
        <v>20/12/83</v>
      </c>
      <c r="O33" s="48">
        <f t="shared" ca="1" si="3"/>
        <v>34</v>
      </c>
      <c r="P33" s="1">
        <v>40345</v>
      </c>
      <c r="Q33" s="2" t="str">
        <f t="shared" si="4"/>
        <v>8 años, 6 meses, 15 dias.</v>
      </c>
      <c r="R33" s="2">
        <f t="shared" si="5"/>
        <v>8</v>
      </c>
      <c r="S33" s="2">
        <f t="shared" si="6"/>
        <v>102</v>
      </c>
      <c r="T33" s="2">
        <f t="shared" si="7"/>
        <v>3120</v>
      </c>
      <c r="U33" s="46" t="s">
        <v>3</v>
      </c>
      <c r="V33" s="46">
        <v>17</v>
      </c>
      <c r="W33" s="46" t="s">
        <v>1</v>
      </c>
      <c r="X33" s="46">
        <v>40</v>
      </c>
      <c r="Y33" s="46" t="s">
        <v>15</v>
      </c>
      <c r="Z33" s="46" t="s">
        <v>1</v>
      </c>
      <c r="AA33" s="49">
        <f>IF(C33="Plaza sin presupuesto",0,IF(W33="si",IF(X33=30,VLOOKUP(V33,'[1]Tablas despensa y pasaje 2018'!$A$3:$I$38,2,0),IF(PLANTILLA!X33=40,VLOOKUP(PLANTILLA!V33,'[1]Tablas despensa y pasaje 2018'!$A$3:$I$38,6,0))),IF(X33=30,VLOOKUP(V33,'[1]Tablas despensa y pasaje 2018'!$A$41:$I$48,2,0),IF(X33=40,VLOOKUP(V33,'[1]Tablas despensa y pasaje 2018'!$A$41:$I$48,6,0),0))))</f>
        <v>19032</v>
      </c>
      <c r="AB33" s="49">
        <f>IF(C33="Plaza sin presupuesto",0,IF(W33="si",IF(X33=30,VLOOKUP(V33,'[1]Tablas despensa y pasaje 2018'!$A$3:$I$38,3,0),IF(PLANTILLA!X33=40,VLOOKUP(PLANTILLA!V33,'[1]Tablas despensa y pasaje 2018'!$A$3:$I$38,7,0))),IF(X33=30,VLOOKUP(V33,'[1]Tablas despensa y pasaje 2018'!$A$41:$I$48,3,0),IF(X33=40,VLOOKUP(V33,'[1]Tablas despensa y pasaje 2018'!$A$41:$I$48,7,0),0))))</f>
        <v>1286</v>
      </c>
      <c r="AC33" s="49">
        <f>IF(C33="Plaza sin presupuesto",0,IF(W33="si",IF(X33=30,VLOOKUP(V33,'[1]Tablas despensa y pasaje 2018'!$A$3:$I$38,4,0),IF(PLANTILLA!X33=40,VLOOKUP(PLANTILLA!V33,'[1]Tablas despensa y pasaje 2018'!$A$3:$I$38,8,0))),IF(X33=30,VLOOKUP(V33,'[1]Tablas despensa y pasaje 2018'!$A$41:$I$48,4,0),IF(X33=40,VLOOKUP(V33,'[1]Tablas despensa y pasaje 2018'!$A$41:$I$48,8,0),0))))</f>
        <v>857</v>
      </c>
      <c r="AD33" s="49">
        <f t="shared" si="8"/>
        <v>0</v>
      </c>
      <c r="AE33" s="49">
        <f t="shared" si="9"/>
        <v>176.72</v>
      </c>
      <c r="AF33" s="49">
        <f t="shared" si="63"/>
        <v>9516</v>
      </c>
      <c r="AG33" s="49">
        <f t="shared" si="10"/>
        <v>31720</v>
      </c>
      <c r="AH33" s="49">
        <f t="shared" si="11"/>
        <v>3172</v>
      </c>
      <c r="AI33" s="49">
        <f t="shared" si="64"/>
        <v>3330.6</v>
      </c>
      <c r="AJ33" s="49">
        <f t="shared" si="65"/>
        <v>570.95999999999992</v>
      </c>
      <c r="AK33" s="49">
        <f t="shared" si="66"/>
        <v>380.64</v>
      </c>
      <c r="AL33" s="49">
        <f t="shared" si="67"/>
        <v>913.53600000000006</v>
      </c>
      <c r="AM33" s="50">
        <f>IF((SUM(AA33:AE33)/2)=0,0,(((((SUM(AA33:AE33)/2)-(VLOOKUP((SUM(AA33:AE33)/2),'[1]Tablas ISR'!$A$4:$D$14,1,TRUE)))*(VLOOKUP((SUM(AA33:AE33)/2),'[1]Tablas ISR'!$A$4:$D$14,4,TRUE)))/100)+(VLOOKUP((SUM(AA33:AE33)/2),'[1]Tablas ISR'!$A$4:$D$14,3,TRUE)))*2)</f>
        <v>3284.3786400000004</v>
      </c>
      <c r="AN33" s="51">
        <f t="shared" si="68"/>
        <v>2188.6800000000003</v>
      </c>
      <c r="AO33" s="49">
        <f t="shared" si="69"/>
        <v>9516</v>
      </c>
      <c r="AP33" s="49">
        <f t="shared" si="70"/>
        <v>643</v>
      </c>
      <c r="AQ33" s="49">
        <f t="shared" si="71"/>
        <v>428.5</v>
      </c>
      <c r="AR33" s="49">
        <f t="shared" si="72"/>
        <v>0</v>
      </c>
      <c r="AS33" s="49">
        <f t="shared" si="73"/>
        <v>88.36</v>
      </c>
      <c r="AT33" s="49">
        <f t="shared" si="74"/>
        <v>1665.3</v>
      </c>
      <c r="AU33" s="49">
        <f t="shared" si="75"/>
        <v>285.47999999999996</v>
      </c>
      <c r="AV33" s="49">
        <f t="shared" si="76"/>
        <v>456.76800000000003</v>
      </c>
      <c r="AW33" s="52">
        <f t="shared" si="77"/>
        <v>7939.3306800000009</v>
      </c>
      <c r="AX33" s="3">
        <f t="shared" si="78"/>
        <v>634.4</v>
      </c>
      <c r="AY33" s="3">
        <f t="shared" si="79"/>
        <v>42.866666666666667</v>
      </c>
      <c r="AZ33" s="3">
        <f t="shared" si="80"/>
        <v>28.566666666666666</v>
      </c>
      <c r="BA33" s="3">
        <f t="shared" si="81"/>
        <v>0</v>
      </c>
      <c r="BB33" s="3">
        <f t="shared" si="82"/>
        <v>5.8906666666666663</v>
      </c>
      <c r="BC33" s="3">
        <f t="shared" si="83"/>
        <v>26.07123287671233</v>
      </c>
      <c r="BD33" s="3">
        <f t="shared" si="84"/>
        <v>86.904109589041099</v>
      </c>
      <c r="BE33" s="3">
        <f t="shared" si="85"/>
        <v>8.6904109589041099</v>
      </c>
      <c r="BF33" s="3">
        <f t="shared" si="86"/>
        <v>111.02</v>
      </c>
      <c r="BG33" s="3">
        <f t="shared" si="87"/>
        <v>19.031999999999996</v>
      </c>
      <c r="BH33" s="3">
        <f t="shared" si="88"/>
        <v>12.687999999999999</v>
      </c>
      <c r="BI33" s="3">
        <f t="shared" si="89"/>
        <v>30.451200000000004</v>
      </c>
      <c r="BJ33" s="3">
        <f t="shared" si="90"/>
        <v>19032</v>
      </c>
      <c r="BK33" s="3">
        <f t="shared" si="91"/>
        <v>1286</v>
      </c>
      <c r="BL33" s="3">
        <f t="shared" si="92"/>
        <v>857</v>
      </c>
      <c r="BM33" s="3">
        <f t="shared" si="93"/>
        <v>0</v>
      </c>
      <c r="BN33" s="3">
        <f t="shared" si="94"/>
        <v>176.72</v>
      </c>
      <c r="BO33" s="3">
        <f t="shared" si="95"/>
        <v>793</v>
      </c>
      <c r="BP33" s="3">
        <f t="shared" si="96"/>
        <v>2643.3333333333335</v>
      </c>
      <c r="BQ33" s="3">
        <f t="shared" si="97"/>
        <v>264.33333333333331</v>
      </c>
      <c r="BR33" s="3">
        <f t="shared" si="98"/>
        <v>3330.6</v>
      </c>
      <c r="BS33" s="3">
        <f t="shared" si="99"/>
        <v>570.95999999999992</v>
      </c>
      <c r="BT33" s="3">
        <f t="shared" si="100"/>
        <v>380.64</v>
      </c>
      <c r="BU33" s="3">
        <f t="shared" si="101"/>
        <v>913.53600000000006</v>
      </c>
      <c r="BV33" s="53">
        <f t="shared" si="50"/>
        <v>228384</v>
      </c>
      <c r="BW33" s="53">
        <f t="shared" si="51"/>
        <v>15432</v>
      </c>
      <c r="BX33" s="53">
        <f t="shared" si="52"/>
        <v>10284</v>
      </c>
      <c r="BY33" s="53">
        <f t="shared" si="53"/>
        <v>0</v>
      </c>
      <c r="BZ33" s="53">
        <f t="shared" si="54"/>
        <v>2120.64</v>
      </c>
      <c r="CA33" s="53">
        <f t="shared" si="55"/>
        <v>9516</v>
      </c>
      <c r="CB33" s="53">
        <f t="shared" si="56"/>
        <v>31720</v>
      </c>
      <c r="CC33" s="53">
        <f t="shared" si="57"/>
        <v>3172</v>
      </c>
      <c r="CD33" s="53">
        <f t="shared" si="58"/>
        <v>39967.199999999997</v>
      </c>
      <c r="CE33" s="53">
        <f t="shared" si="59"/>
        <v>6851.5199999999986</v>
      </c>
      <c r="CF33" s="53">
        <f t="shared" si="60"/>
        <v>4567.68</v>
      </c>
      <c r="CG33" s="53">
        <f t="shared" si="61"/>
        <v>10962.432000000001</v>
      </c>
      <c r="CH33" s="54">
        <f t="shared" si="62"/>
        <v>362977.47200000007</v>
      </c>
      <c r="CI33" s="46"/>
      <c r="CJ33" s="46"/>
      <c r="CK33" s="46"/>
      <c r="CL33" s="46"/>
      <c r="CM33" s="46"/>
      <c r="CN33" s="46"/>
      <c r="CO33" s="46"/>
      <c r="CP33" s="46"/>
    </row>
    <row r="34" spans="1:94" s="68" customFormat="1" ht="27" customHeight="1" x14ac:dyDescent="0.2">
      <c r="A34" s="56">
        <v>30</v>
      </c>
      <c r="B34" s="56">
        <v>837</v>
      </c>
      <c r="C34" s="56" t="s">
        <v>38</v>
      </c>
      <c r="D34" s="56" t="str">
        <f t="shared" si="0"/>
        <v>Plaza</v>
      </c>
      <c r="E34" s="56" t="str">
        <f t="shared" si="1"/>
        <v xml:space="preserve">sin </v>
      </c>
      <c r="F34" s="56" t="str">
        <f t="shared" si="2"/>
        <v>presupuesto</v>
      </c>
      <c r="G34" s="56">
        <v>2</v>
      </c>
      <c r="H34" s="56"/>
      <c r="I34" s="57" t="s">
        <v>157</v>
      </c>
      <c r="J34" s="57" t="s">
        <v>140</v>
      </c>
      <c r="K34" s="58"/>
      <c r="L34" s="58"/>
      <c r="M34" s="58"/>
      <c r="N34" s="59">
        <f>IF(H34&gt;0,MID(H34,9,2)&amp;"/"&amp;MID(H34,7,2)&amp;"/"&amp;MID(H34,5,2),0)</f>
        <v>0</v>
      </c>
      <c r="O34" s="58" t="str">
        <f t="shared" ca="1" si="3"/>
        <v>N/A</v>
      </c>
      <c r="P34" s="60"/>
      <c r="Q34" s="4">
        <f t="shared" si="4"/>
        <v>0</v>
      </c>
      <c r="R34" s="4">
        <f t="shared" si="5"/>
        <v>118</v>
      </c>
      <c r="S34" s="4">
        <f t="shared" si="6"/>
        <v>1427</v>
      </c>
      <c r="T34" s="4">
        <f t="shared" si="7"/>
        <v>43465</v>
      </c>
      <c r="U34" s="58" t="s">
        <v>3</v>
      </c>
      <c r="V34" s="58">
        <v>17</v>
      </c>
      <c r="W34" s="58" t="s">
        <v>16</v>
      </c>
      <c r="X34" s="58">
        <v>40</v>
      </c>
      <c r="Y34" s="58" t="s">
        <v>15</v>
      </c>
      <c r="Z34" s="58" t="s">
        <v>1</v>
      </c>
      <c r="AA34" s="61">
        <f>IF(C34="Plaza sin presupuesto",0,IF(W34="si",IF(X34=30,VLOOKUP(V34,'[1]Tablas despensa y pasaje 2018'!$A$3:$I$38,2,0),IF(PLANTILLA!X34=40,VLOOKUP(PLANTILLA!V34,'[1]Tablas despensa y pasaje 2018'!$A$3:$I$38,6,0))),IF(X34=30,VLOOKUP(V34,'[1]Tablas despensa y pasaje 2018'!$A$41:$I$48,2,0),IF(X34=40,VLOOKUP(V34,'[1]Tablas despensa y pasaje 2018'!$A$41:$I$48,6,0),0))))</f>
        <v>0</v>
      </c>
      <c r="AB34" s="61">
        <f>IF(C34="Plaza sin presupuesto",0,IF(W34="si",IF(X34=30,VLOOKUP(V34,'[1]Tablas despensa y pasaje 2018'!$A$3:$I$38,3,0),IF(PLANTILLA!X34=40,VLOOKUP(PLANTILLA!V34,'[1]Tablas despensa y pasaje 2018'!$A$3:$I$38,7,0))),IF(X34=30,VLOOKUP(V34,'[1]Tablas despensa y pasaje 2018'!$A$41:$I$48,3,0),IF(X34=40,VLOOKUP(V34,'[1]Tablas despensa y pasaje 2018'!$A$41:$I$48,7,0),0))))</f>
        <v>0</v>
      </c>
      <c r="AC34" s="61">
        <f>IF(C34="Plaza sin presupuesto",0,IF(W34="si",IF(X34=30,VLOOKUP(V34,'[1]Tablas despensa y pasaje 2018'!$A$3:$I$38,4,0),IF(PLANTILLA!X34=40,VLOOKUP(PLANTILLA!V34,'[1]Tablas despensa y pasaje 2018'!$A$3:$I$38,8,0))),IF(X34=30,VLOOKUP(V34,'[1]Tablas despensa y pasaje 2018'!$A$41:$I$48,4,0),IF(X34=40,VLOOKUP(V34,'[1]Tablas despensa y pasaje 2018'!$A$41:$I$48,8,0),0))))</f>
        <v>0</v>
      </c>
      <c r="AD34" s="61">
        <f t="shared" si="8"/>
        <v>0</v>
      </c>
      <c r="AE34" s="61">
        <f t="shared" si="9"/>
        <v>0</v>
      </c>
      <c r="AF34" s="61">
        <f t="shared" si="63"/>
        <v>0</v>
      </c>
      <c r="AG34" s="61">
        <f t="shared" si="10"/>
        <v>0</v>
      </c>
      <c r="AH34" s="61">
        <f t="shared" si="11"/>
        <v>0</v>
      </c>
      <c r="AI34" s="61">
        <f t="shared" si="64"/>
        <v>0</v>
      </c>
      <c r="AJ34" s="61">
        <f t="shared" si="65"/>
        <v>0</v>
      </c>
      <c r="AK34" s="61">
        <f t="shared" si="66"/>
        <v>0</v>
      </c>
      <c r="AL34" s="61">
        <f t="shared" si="67"/>
        <v>0</v>
      </c>
      <c r="AM34" s="62">
        <f>IF((SUM(AA34:AE34)/2)=0,0,(((((SUM(AA34:AE34)/2)-(VLOOKUP((SUM(AA34:AE34)/2),'[1]Tablas ISR'!$A$4:$D$14,1,TRUE)))*(VLOOKUP((SUM(AA34:AE34)/2),'[1]Tablas ISR'!$A$4:$D$14,4,TRUE)))/100)+(VLOOKUP((SUM(AA34:AE34)/2),'[1]Tablas ISR'!$A$4:$D$14,3,TRUE)))*2)</f>
        <v>0</v>
      </c>
      <c r="AN34" s="63">
        <f t="shared" si="68"/>
        <v>0</v>
      </c>
      <c r="AO34" s="61">
        <f t="shared" si="69"/>
        <v>0</v>
      </c>
      <c r="AP34" s="61">
        <f t="shared" si="70"/>
        <v>0</v>
      </c>
      <c r="AQ34" s="61">
        <f t="shared" si="71"/>
        <v>0</v>
      </c>
      <c r="AR34" s="61">
        <f t="shared" si="72"/>
        <v>0</v>
      </c>
      <c r="AS34" s="61">
        <f t="shared" si="73"/>
        <v>0</v>
      </c>
      <c r="AT34" s="61">
        <f t="shared" si="74"/>
        <v>0</v>
      </c>
      <c r="AU34" s="61">
        <f t="shared" si="75"/>
        <v>0</v>
      </c>
      <c r="AV34" s="61">
        <f t="shared" si="76"/>
        <v>0</v>
      </c>
      <c r="AW34" s="64">
        <f t="shared" si="77"/>
        <v>0</v>
      </c>
      <c r="AX34" s="5">
        <f t="shared" si="78"/>
        <v>0</v>
      </c>
      <c r="AY34" s="5">
        <f t="shared" si="79"/>
        <v>0</v>
      </c>
      <c r="AZ34" s="5">
        <f t="shared" si="80"/>
        <v>0</v>
      </c>
      <c r="BA34" s="5">
        <f t="shared" si="81"/>
        <v>0</v>
      </c>
      <c r="BB34" s="5">
        <f t="shared" si="82"/>
        <v>0</v>
      </c>
      <c r="BC34" s="5">
        <f t="shared" si="83"/>
        <v>0</v>
      </c>
      <c r="BD34" s="5">
        <f t="shared" si="84"/>
        <v>0</v>
      </c>
      <c r="BE34" s="5">
        <f t="shared" si="85"/>
        <v>0</v>
      </c>
      <c r="BF34" s="5">
        <f t="shared" si="86"/>
        <v>0</v>
      </c>
      <c r="BG34" s="5">
        <f t="shared" si="87"/>
        <v>0</v>
      </c>
      <c r="BH34" s="5">
        <f t="shared" si="88"/>
        <v>0</v>
      </c>
      <c r="BI34" s="5">
        <f t="shared" si="89"/>
        <v>0</v>
      </c>
      <c r="BJ34" s="5">
        <f t="shared" si="90"/>
        <v>0</v>
      </c>
      <c r="BK34" s="5">
        <f t="shared" si="91"/>
        <v>0</v>
      </c>
      <c r="BL34" s="5">
        <f t="shared" si="92"/>
        <v>0</v>
      </c>
      <c r="BM34" s="5">
        <f t="shared" si="93"/>
        <v>0</v>
      </c>
      <c r="BN34" s="5">
        <f t="shared" si="94"/>
        <v>0</v>
      </c>
      <c r="BO34" s="5">
        <f t="shared" si="95"/>
        <v>0</v>
      </c>
      <c r="BP34" s="5">
        <f t="shared" si="96"/>
        <v>0</v>
      </c>
      <c r="BQ34" s="5">
        <f t="shared" si="97"/>
        <v>0</v>
      </c>
      <c r="BR34" s="5">
        <f t="shared" si="98"/>
        <v>0</v>
      </c>
      <c r="BS34" s="5">
        <f t="shared" si="99"/>
        <v>0</v>
      </c>
      <c r="BT34" s="5">
        <f t="shared" si="100"/>
        <v>0</v>
      </c>
      <c r="BU34" s="5">
        <f t="shared" si="101"/>
        <v>0</v>
      </c>
      <c r="BV34" s="65">
        <f t="shared" si="50"/>
        <v>0</v>
      </c>
      <c r="BW34" s="65">
        <f t="shared" si="51"/>
        <v>0</v>
      </c>
      <c r="BX34" s="65">
        <f t="shared" si="52"/>
        <v>0</v>
      </c>
      <c r="BY34" s="65">
        <f t="shared" si="53"/>
        <v>0</v>
      </c>
      <c r="BZ34" s="65">
        <f t="shared" si="54"/>
        <v>0</v>
      </c>
      <c r="CA34" s="65">
        <f t="shared" si="55"/>
        <v>0</v>
      </c>
      <c r="CB34" s="65">
        <f t="shared" si="56"/>
        <v>0</v>
      </c>
      <c r="CC34" s="65">
        <f t="shared" si="57"/>
        <v>0</v>
      </c>
      <c r="CD34" s="65">
        <f t="shared" si="58"/>
        <v>0</v>
      </c>
      <c r="CE34" s="65">
        <f t="shared" si="59"/>
        <v>0</v>
      </c>
      <c r="CF34" s="65">
        <f t="shared" si="60"/>
        <v>0</v>
      </c>
      <c r="CG34" s="65">
        <f t="shared" si="61"/>
        <v>0</v>
      </c>
      <c r="CH34" s="66">
        <f t="shared" si="62"/>
        <v>0</v>
      </c>
      <c r="CI34" s="67"/>
      <c r="CJ34" s="67"/>
      <c r="CK34" s="67"/>
      <c r="CL34" s="67"/>
      <c r="CM34" s="67"/>
      <c r="CN34" s="67"/>
      <c r="CO34" s="67"/>
      <c r="CP34" s="67"/>
    </row>
    <row r="35" spans="1:94" ht="27" customHeight="1" x14ac:dyDescent="0.2">
      <c r="A35" s="8">
        <v>31</v>
      </c>
      <c r="B35" s="8">
        <v>468</v>
      </c>
      <c r="C35" s="43" t="s">
        <v>156</v>
      </c>
      <c r="D35" s="44" t="str">
        <f t="shared" si="0"/>
        <v>Torres</v>
      </c>
      <c r="E35" s="44" t="str">
        <f t="shared" si="1"/>
        <v xml:space="preserve">Naranjo </v>
      </c>
      <c r="F35" s="44" t="str">
        <f t="shared" si="2"/>
        <v>Silvia Leticia</v>
      </c>
      <c r="G35" s="8">
        <v>2</v>
      </c>
      <c r="H35" s="8" t="s">
        <v>155</v>
      </c>
      <c r="I35" s="45" t="s">
        <v>152</v>
      </c>
      <c r="J35" s="45" t="s">
        <v>140</v>
      </c>
      <c r="K35" s="46" t="s">
        <v>12</v>
      </c>
      <c r="L35" s="46" t="s">
        <v>17</v>
      </c>
      <c r="M35" s="46" t="s">
        <v>11</v>
      </c>
      <c r="N35" s="47" t="str">
        <f>IF(H35&gt;0,MID(H35,9,2)&amp;"/"&amp;MID(H35,7,2)&amp;"/"&amp;MID(H35,5,2),0)</f>
        <v>27/08/78</v>
      </c>
      <c r="O35" s="48">
        <f t="shared" ca="1" si="3"/>
        <v>39</v>
      </c>
      <c r="P35" s="1">
        <v>39363</v>
      </c>
      <c r="Q35" s="2" t="str">
        <f t="shared" si="4"/>
        <v>11 años, 2 meses, 23 dias.</v>
      </c>
      <c r="R35" s="2">
        <f t="shared" si="5"/>
        <v>11</v>
      </c>
      <c r="S35" s="2">
        <f t="shared" si="6"/>
        <v>134</v>
      </c>
      <c r="T35" s="2">
        <f t="shared" si="7"/>
        <v>4102</v>
      </c>
      <c r="U35" s="46" t="s">
        <v>3</v>
      </c>
      <c r="V35" s="46">
        <v>17</v>
      </c>
      <c r="W35" s="46" t="s">
        <v>1</v>
      </c>
      <c r="X35" s="46">
        <v>40</v>
      </c>
      <c r="Y35" s="46" t="s">
        <v>15</v>
      </c>
      <c r="Z35" s="46" t="s">
        <v>1</v>
      </c>
      <c r="AA35" s="49">
        <f>IF(C35="Plaza sin presupuesto",0,IF(W35="si",IF(X35=30,VLOOKUP(V35,'[1]Tablas despensa y pasaje 2018'!$A$3:$I$38,2,0),IF(PLANTILLA!X35=40,VLOOKUP(PLANTILLA!V35,'[1]Tablas despensa y pasaje 2018'!$A$3:$I$38,6,0))),IF(X35=30,VLOOKUP(V35,'[1]Tablas despensa y pasaje 2018'!$A$41:$I$48,2,0),IF(X35=40,VLOOKUP(V35,'[1]Tablas despensa y pasaje 2018'!$A$41:$I$48,6,0),0))))</f>
        <v>19032</v>
      </c>
      <c r="AB35" s="49">
        <f>IF(C35="Plaza sin presupuesto",0,IF(W35="si",IF(X35=30,VLOOKUP(V35,'[1]Tablas despensa y pasaje 2018'!$A$3:$I$38,3,0),IF(PLANTILLA!X35=40,VLOOKUP(PLANTILLA!V35,'[1]Tablas despensa y pasaje 2018'!$A$3:$I$38,7,0))),IF(X35=30,VLOOKUP(V35,'[1]Tablas despensa y pasaje 2018'!$A$41:$I$48,3,0),IF(X35=40,VLOOKUP(V35,'[1]Tablas despensa y pasaje 2018'!$A$41:$I$48,7,0),0))))</f>
        <v>1286</v>
      </c>
      <c r="AC35" s="49">
        <f>IF(C35="Plaza sin presupuesto",0,IF(W35="si",IF(X35=30,VLOOKUP(V35,'[1]Tablas despensa y pasaje 2018'!$A$3:$I$38,4,0),IF(PLANTILLA!X35=40,VLOOKUP(PLANTILLA!V35,'[1]Tablas despensa y pasaje 2018'!$A$3:$I$38,8,0))),IF(X35=30,VLOOKUP(V35,'[1]Tablas despensa y pasaje 2018'!$A$41:$I$48,4,0),IF(X35=40,VLOOKUP(V35,'[1]Tablas despensa y pasaje 2018'!$A$41:$I$48,8,0),0))))</f>
        <v>857</v>
      </c>
      <c r="AD35" s="49">
        <f t="shared" si="8"/>
        <v>0</v>
      </c>
      <c r="AE35" s="49">
        <f t="shared" si="9"/>
        <v>265.08</v>
      </c>
      <c r="AF35" s="49">
        <f t="shared" si="63"/>
        <v>9516</v>
      </c>
      <c r="AG35" s="49">
        <f t="shared" si="10"/>
        <v>31720</v>
      </c>
      <c r="AH35" s="49">
        <f t="shared" si="11"/>
        <v>3172</v>
      </c>
      <c r="AI35" s="49">
        <f t="shared" si="64"/>
        <v>3330.6</v>
      </c>
      <c r="AJ35" s="49">
        <f t="shared" si="65"/>
        <v>570.95999999999992</v>
      </c>
      <c r="AK35" s="49">
        <f t="shared" si="66"/>
        <v>380.64</v>
      </c>
      <c r="AL35" s="49">
        <f t="shared" si="67"/>
        <v>913.53600000000006</v>
      </c>
      <c r="AM35" s="50">
        <f>IF((SUM(AA35:AE35)/2)=0,0,(((((SUM(AA35:AE35)/2)-(VLOOKUP((SUM(AA35:AE35)/2),'[1]Tablas ISR'!$A$4:$D$14,1,TRUE)))*(VLOOKUP((SUM(AA35:AE35)/2),'[1]Tablas ISR'!$A$4:$D$14,4,TRUE)))/100)+(VLOOKUP((SUM(AA35:AE35)/2),'[1]Tablas ISR'!$A$4:$D$14,3,TRUE)))*2)</f>
        <v>3303.2523360000005</v>
      </c>
      <c r="AN35" s="51">
        <f t="shared" si="68"/>
        <v>2188.6800000000003</v>
      </c>
      <c r="AO35" s="49">
        <f t="shared" si="69"/>
        <v>9516</v>
      </c>
      <c r="AP35" s="49">
        <f t="shared" si="70"/>
        <v>643</v>
      </c>
      <c r="AQ35" s="49">
        <f t="shared" si="71"/>
        <v>428.5</v>
      </c>
      <c r="AR35" s="49">
        <f t="shared" si="72"/>
        <v>0</v>
      </c>
      <c r="AS35" s="49">
        <f t="shared" si="73"/>
        <v>132.54</v>
      </c>
      <c r="AT35" s="49">
        <f t="shared" si="74"/>
        <v>1665.3</v>
      </c>
      <c r="AU35" s="49">
        <f t="shared" si="75"/>
        <v>285.47999999999996</v>
      </c>
      <c r="AV35" s="49">
        <f t="shared" si="76"/>
        <v>456.76800000000003</v>
      </c>
      <c r="AW35" s="52">
        <f t="shared" si="77"/>
        <v>7974.073832</v>
      </c>
      <c r="AX35" s="3">
        <f t="shared" si="78"/>
        <v>634.4</v>
      </c>
      <c r="AY35" s="3">
        <f t="shared" si="79"/>
        <v>42.866666666666667</v>
      </c>
      <c r="AZ35" s="3">
        <f t="shared" si="80"/>
        <v>28.566666666666666</v>
      </c>
      <c r="BA35" s="3">
        <f t="shared" si="81"/>
        <v>0</v>
      </c>
      <c r="BB35" s="3">
        <f t="shared" si="82"/>
        <v>8.8360000000000003</v>
      </c>
      <c r="BC35" s="3">
        <f t="shared" si="83"/>
        <v>26.07123287671233</v>
      </c>
      <c r="BD35" s="3">
        <f t="shared" si="84"/>
        <v>86.904109589041099</v>
      </c>
      <c r="BE35" s="3">
        <f t="shared" si="85"/>
        <v>8.6904109589041099</v>
      </c>
      <c r="BF35" s="3">
        <f t="shared" si="86"/>
        <v>111.02</v>
      </c>
      <c r="BG35" s="3">
        <f t="shared" si="87"/>
        <v>19.031999999999996</v>
      </c>
      <c r="BH35" s="3">
        <f t="shared" si="88"/>
        <v>12.687999999999999</v>
      </c>
      <c r="BI35" s="3">
        <f t="shared" si="89"/>
        <v>30.451200000000004</v>
      </c>
      <c r="BJ35" s="3">
        <f t="shared" si="90"/>
        <v>19032</v>
      </c>
      <c r="BK35" s="3">
        <f t="shared" si="91"/>
        <v>1286</v>
      </c>
      <c r="BL35" s="3">
        <f t="shared" si="92"/>
        <v>857</v>
      </c>
      <c r="BM35" s="3">
        <f t="shared" si="93"/>
        <v>0</v>
      </c>
      <c r="BN35" s="3">
        <f t="shared" si="94"/>
        <v>265.08</v>
      </c>
      <c r="BO35" s="3">
        <f t="shared" si="95"/>
        <v>793</v>
      </c>
      <c r="BP35" s="3">
        <f t="shared" si="96"/>
        <v>2643.3333333333335</v>
      </c>
      <c r="BQ35" s="3">
        <f t="shared" si="97"/>
        <v>264.33333333333331</v>
      </c>
      <c r="BR35" s="3">
        <f t="shared" si="98"/>
        <v>3330.6</v>
      </c>
      <c r="BS35" s="3">
        <f t="shared" si="99"/>
        <v>570.95999999999992</v>
      </c>
      <c r="BT35" s="3">
        <f t="shared" si="100"/>
        <v>380.64</v>
      </c>
      <c r="BU35" s="3">
        <f t="shared" si="101"/>
        <v>913.53600000000006</v>
      </c>
      <c r="BV35" s="53">
        <f t="shared" si="50"/>
        <v>228384</v>
      </c>
      <c r="BW35" s="53">
        <f t="shared" si="51"/>
        <v>15432</v>
      </c>
      <c r="BX35" s="53">
        <f t="shared" si="52"/>
        <v>10284</v>
      </c>
      <c r="BY35" s="53">
        <f t="shared" si="53"/>
        <v>0</v>
      </c>
      <c r="BZ35" s="53">
        <f t="shared" si="54"/>
        <v>3180.96</v>
      </c>
      <c r="CA35" s="53">
        <f t="shared" si="55"/>
        <v>9516</v>
      </c>
      <c r="CB35" s="53">
        <f t="shared" si="56"/>
        <v>31720</v>
      </c>
      <c r="CC35" s="53">
        <f t="shared" si="57"/>
        <v>3172</v>
      </c>
      <c r="CD35" s="53">
        <f t="shared" si="58"/>
        <v>39967.199999999997</v>
      </c>
      <c r="CE35" s="53">
        <f t="shared" si="59"/>
        <v>6851.5199999999986</v>
      </c>
      <c r="CF35" s="53">
        <f t="shared" si="60"/>
        <v>4567.68</v>
      </c>
      <c r="CG35" s="53">
        <f t="shared" si="61"/>
        <v>10962.432000000001</v>
      </c>
      <c r="CH35" s="54">
        <f t="shared" si="62"/>
        <v>364037.79200000002</v>
      </c>
      <c r="CI35" s="46"/>
      <c r="CJ35" s="46"/>
      <c r="CK35" s="46"/>
      <c r="CL35" s="46"/>
      <c r="CM35" s="46"/>
      <c r="CN35" s="46"/>
      <c r="CO35" s="46"/>
      <c r="CP35" s="46"/>
    </row>
    <row r="36" spans="1:94" ht="27" customHeight="1" x14ac:dyDescent="0.2">
      <c r="A36" s="8">
        <v>32</v>
      </c>
      <c r="B36" s="8">
        <v>469</v>
      </c>
      <c r="C36" s="43" t="s">
        <v>154</v>
      </c>
      <c r="D36" s="44" t="str">
        <f t="shared" si="0"/>
        <v>Flores</v>
      </c>
      <c r="E36" s="44" t="str">
        <f t="shared" si="1"/>
        <v xml:space="preserve">Cervantes </v>
      </c>
      <c r="F36" s="44" t="str">
        <f t="shared" si="2"/>
        <v>Nayeli</v>
      </c>
      <c r="G36" s="8">
        <v>2</v>
      </c>
      <c r="H36" s="8" t="s">
        <v>153</v>
      </c>
      <c r="I36" s="45" t="s">
        <v>152</v>
      </c>
      <c r="J36" s="45" t="s">
        <v>140</v>
      </c>
      <c r="K36" s="46" t="s">
        <v>23</v>
      </c>
      <c r="L36" s="46" t="s">
        <v>17</v>
      </c>
      <c r="M36" s="46" t="s">
        <v>4</v>
      </c>
      <c r="N36" s="47" t="str">
        <f>IF(H36&gt;0,MID(H36,9,2)&amp;"/"&amp;MID(H36,7,2)&amp;"/"&amp;MID(H36,5,2),0)</f>
        <v>07/12/93</v>
      </c>
      <c r="O36" s="48">
        <f t="shared" ca="1" si="3"/>
        <v>24</v>
      </c>
      <c r="P36" s="1">
        <v>42933</v>
      </c>
      <c r="Q36" s="2" t="str">
        <f t="shared" si="4"/>
        <v>1 años, 5 meses, 14 dias.</v>
      </c>
      <c r="R36" s="2">
        <f t="shared" si="5"/>
        <v>1</v>
      </c>
      <c r="S36" s="2">
        <f t="shared" si="6"/>
        <v>17</v>
      </c>
      <c r="T36" s="2">
        <f t="shared" si="7"/>
        <v>532</v>
      </c>
      <c r="U36" s="46" t="s">
        <v>3</v>
      </c>
      <c r="V36" s="46">
        <v>17</v>
      </c>
      <c r="W36" s="46" t="s">
        <v>1</v>
      </c>
      <c r="X36" s="46">
        <v>40</v>
      </c>
      <c r="Y36" s="46" t="s">
        <v>15</v>
      </c>
      <c r="Z36" s="46" t="s">
        <v>1</v>
      </c>
      <c r="AA36" s="49">
        <f>IF(C36="Plaza sin presupuesto",0,IF(W36="si",IF(X36=30,VLOOKUP(V36,'[1]Tablas despensa y pasaje 2018'!$A$3:$I$38,2,0),IF(PLANTILLA!X36=40,VLOOKUP(PLANTILLA!V36,'[1]Tablas despensa y pasaje 2018'!$A$3:$I$38,6,0))),IF(X36=30,VLOOKUP(V36,'[1]Tablas despensa y pasaje 2018'!$A$41:$I$48,2,0),IF(X36=40,VLOOKUP(V36,'[1]Tablas despensa y pasaje 2018'!$A$41:$I$48,6,0),0))))</f>
        <v>19032</v>
      </c>
      <c r="AB36" s="49">
        <f>IF(C36="Plaza sin presupuesto",0,IF(W36="si",IF(X36=30,VLOOKUP(V36,'[1]Tablas despensa y pasaje 2018'!$A$3:$I$38,3,0),IF(PLANTILLA!X36=40,VLOOKUP(PLANTILLA!V36,'[1]Tablas despensa y pasaje 2018'!$A$3:$I$38,7,0))),IF(X36=30,VLOOKUP(V36,'[1]Tablas despensa y pasaje 2018'!$A$41:$I$48,3,0),IF(X36=40,VLOOKUP(V36,'[1]Tablas despensa y pasaje 2018'!$A$41:$I$48,7,0),0))))</f>
        <v>1286</v>
      </c>
      <c r="AC36" s="49">
        <f>IF(C36="Plaza sin presupuesto",0,IF(W36="si",IF(X36=30,VLOOKUP(V36,'[1]Tablas despensa y pasaje 2018'!$A$3:$I$38,4,0),IF(PLANTILLA!X36=40,VLOOKUP(PLANTILLA!V36,'[1]Tablas despensa y pasaje 2018'!$A$3:$I$38,8,0))),IF(X36=30,VLOOKUP(V36,'[1]Tablas despensa y pasaje 2018'!$A$41:$I$48,4,0),IF(X36=40,VLOOKUP(V36,'[1]Tablas despensa y pasaje 2018'!$A$41:$I$48,8,0),0))))</f>
        <v>857</v>
      </c>
      <c r="AD36" s="49">
        <f t="shared" si="8"/>
        <v>0</v>
      </c>
      <c r="AE36" s="49">
        <f t="shared" si="9"/>
        <v>0</v>
      </c>
      <c r="AF36" s="49">
        <f t="shared" si="63"/>
        <v>9516</v>
      </c>
      <c r="AG36" s="49">
        <f t="shared" si="10"/>
        <v>31720</v>
      </c>
      <c r="AH36" s="49">
        <f t="shared" si="11"/>
        <v>3172</v>
      </c>
      <c r="AI36" s="49">
        <f t="shared" si="64"/>
        <v>3330.6</v>
      </c>
      <c r="AJ36" s="49">
        <f t="shared" si="65"/>
        <v>570.95999999999992</v>
      </c>
      <c r="AK36" s="49">
        <f t="shared" si="66"/>
        <v>380.64</v>
      </c>
      <c r="AL36" s="49">
        <f t="shared" si="67"/>
        <v>913.53600000000006</v>
      </c>
      <c r="AM36" s="50">
        <f>IF((SUM(AA36:AE36)/2)=0,0,(((((SUM(AA36:AE36)/2)-(VLOOKUP((SUM(AA36:AE36)/2),'[1]Tablas ISR'!$A$4:$D$14,1,TRUE)))*(VLOOKUP((SUM(AA36:AE36)/2),'[1]Tablas ISR'!$A$4:$D$14,4,TRUE)))/100)+(VLOOKUP((SUM(AA36:AE36)/2),'[1]Tablas ISR'!$A$4:$D$14,3,TRUE)))*2)</f>
        <v>3246.6312479999997</v>
      </c>
      <c r="AN36" s="51">
        <f t="shared" si="68"/>
        <v>2188.6800000000003</v>
      </c>
      <c r="AO36" s="49">
        <f t="shared" si="69"/>
        <v>9516</v>
      </c>
      <c r="AP36" s="49">
        <f t="shared" si="70"/>
        <v>643</v>
      </c>
      <c r="AQ36" s="49">
        <f t="shared" si="71"/>
        <v>428.5</v>
      </c>
      <c r="AR36" s="49">
        <f t="shared" si="72"/>
        <v>0</v>
      </c>
      <c r="AS36" s="49">
        <f t="shared" si="73"/>
        <v>0</v>
      </c>
      <c r="AT36" s="49">
        <f t="shared" si="74"/>
        <v>1665.3</v>
      </c>
      <c r="AU36" s="49">
        <f t="shared" si="75"/>
        <v>285.47999999999996</v>
      </c>
      <c r="AV36" s="49">
        <f t="shared" si="76"/>
        <v>456.76800000000003</v>
      </c>
      <c r="AW36" s="52">
        <f t="shared" si="77"/>
        <v>7869.8443760000009</v>
      </c>
      <c r="AX36" s="3">
        <f t="shared" si="78"/>
        <v>634.4</v>
      </c>
      <c r="AY36" s="3">
        <f t="shared" si="79"/>
        <v>42.866666666666667</v>
      </c>
      <c r="AZ36" s="3">
        <f t="shared" si="80"/>
        <v>28.566666666666666</v>
      </c>
      <c r="BA36" s="3">
        <f t="shared" si="81"/>
        <v>0</v>
      </c>
      <c r="BB36" s="3">
        <f t="shared" si="82"/>
        <v>0</v>
      </c>
      <c r="BC36" s="3">
        <f t="shared" si="83"/>
        <v>26.07123287671233</v>
      </c>
      <c r="BD36" s="3">
        <f t="shared" si="84"/>
        <v>86.904109589041099</v>
      </c>
      <c r="BE36" s="3">
        <f t="shared" si="85"/>
        <v>8.6904109589041099</v>
      </c>
      <c r="BF36" s="3">
        <f t="shared" si="86"/>
        <v>111.02</v>
      </c>
      <c r="BG36" s="3">
        <f t="shared" si="87"/>
        <v>19.031999999999996</v>
      </c>
      <c r="BH36" s="3">
        <f t="shared" si="88"/>
        <v>12.687999999999999</v>
      </c>
      <c r="BI36" s="3">
        <f t="shared" si="89"/>
        <v>30.451200000000004</v>
      </c>
      <c r="BJ36" s="3">
        <f t="shared" si="90"/>
        <v>19032</v>
      </c>
      <c r="BK36" s="3">
        <f t="shared" si="91"/>
        <v>1286</v>
      </c>
      <c r="BL36" s="3">
        <f t="shared" si="92"/>
        <v>857</v>
      </c>
      <c r="BM36" s="3">
        <f t="shared" si="93"/>
        <v>0</v>
      </c>
      <c r="BN36" s="3">
        <f t="shared" si="94"/>
        <v>0</v>
      </c>
      <c r="BO36" s="3">
        <f t="shared" si="95"/>
        <v>793</v>
      </c>
      <c r="BP36" s="3">
        <f t="shared" si="96"/>
        <v>2643.3333333333335</v>
      </c>
      <c r="BQ36" s="3">
        <f t="shared" si="97"/>
        <v>264.33333333333331</v>
      </c>
      <c r="BR36" s="3">
        <f t="shared" si="98"/>
        <v>3330.6</v>
      </c>
      <c r="BS36" s="3">
        <f t="shared" si="99"/>
        <v>570.95999999999992</v>
      </c>
      <c r="BT36" s="3">
        <f t="shared" si="100"/>
        <v>380.64</v>
      </c>
      <c r="BU36" s="3">
        <f t="shared" si="101"/>
        <v>913.53600000000006</v>
      </c>
      <c r="BV36" s="53">
        <f t="shared" si="50"/>
        <v>228384</v>
      </c>
      <c r="BW36" s="53">
        <f t="shared" si="51"/>
        <v>15432</v>
      </c>
      <c r="BX36" s="53">
        <f t="shared" si="52"/>
        <v>10284</v>
      </c>
      <c r="BY36" s="53">
        <f t="shared" si="53"/>
        <v>0</v>
      </c>
      <c r="BZ36" s="53">
        <f t="shared" si="54"/>
        <v>0</v>
      </c>
      <c r="CA36" s="53">
        <f t="shared" si="55"/>
        <v>9516</v>
      </c>
      <c r="CB36" s="53">
        <f t="shared" si="56"/>
        <v>31720</v>
      </c>
      <c r="CC36" s="53">
        <f t="shared" si="57"/>
        <v>3172</v>
      </c>
      <c r="CD36" s="53">
        <f t="shared" si="58"/>
        <v>39967.199999999997</v>
      </c>
      <c r="CE36" s="53">
        <f t="shared" si="59"/>
        <v>6851.5199999999986</v>
      </c>
      <c r="CF36" s="53">
        <f t="shared" si="60"/>
        <v>4567.68</v>
      </c>
      <c r="CG36" s="53">
        <f t="shared" si="61"/>
        <v>10962.432000000001</v>
      </c>
      <c r="CH36" s="54">
        <f t="shared" si="62"/>
        <v>360856.83200000005</v>
      </c>
      <c r="CI36" s="46"/>
      <c r="CJ36" s="46"/>
      <c r="CK36" s="46"/>
      <c r="CL36" s="46"/>
      <c r="CM36" s="46"/>
      <c r="CN36" s="46"/>
      <c r="CO36" s="46"/>
      <c r="CP36" s="46"/>
    </row>
    <row r="37" spans="1:94" ht="27" customHeight="1" x14ac:dyDescent="0.2">
      <c r="A37" s="8">
        <v>33</v>
      </c>
      <c r="B37" s="8">
        <v>470</v>
      </c>
      <c r="C37" s="43" t="s">
        <v>151</v>
      </c>
      <c r="D37" s="44" t="str">
        <f t="shared" ref="D37:D68" si="102">MID(C37,1,SEARCH(" ",C37,1)-1)</f>
        <v>Lopez</v>
      </c>
      <c r="E37" s="44" t="str">
        <f t="shared" ref="E37:E68" si="103">MID(C37,(SEARCH(" ",C37)+1),(SEARCH(" ",C37,(SEARCH(" ",C37)+1))-SEARCH(" ",C37)))</f>
        <v xml:space="preserve">Cervantes </v>
      </c>
      <c r="F37" s="44" t="str">
        <f t="shared" ref="F37:F68" si="104">MID(C37,(SEARCH(" ",C37,(SEARCH(" ",C37)+1))+1),100)</f>
        <v>Miguel Angel</v>
      </c>
      <c r="G37" s="8">
        <v>2</v>
      </c>
      <c r="H37" s="8" t="s">
        <v>150</v>
      </c>
      <c r="I37" s="45" t="s">
        <v>149</v>
      </c>
      <c r="J37" s="45" t="s">
        <v>140</v>
      </c>
      <c r="K37" s="46" t="s">
        <v>6</v>
      </c>
      <c r="L37" s="46" t="s">
        <v>5</v>
      </c>
      <c r="M37" s="46" t="s">
        <v>11</v>
      </c>
      <c r="N37" s="47" t="str">
        <f>IF(H37&gt;0,MID(H37,9,2)&amp;"/"&amp;MID(H37,7,2)&amp;"/"&amp;MID(H37,5,2),0)</f>
        <v>20/02/58</v>
      </c>
      <c r="O37" s="48">
        <f t="shared" ref="O37:O68" ca="1" si="105">IF(N37&gt;0,DATEDIF(N37,TODAY(),"Y"),"N/A")</f>
        <v>59</v>
      </c>
      <c r="P37" s="1">
        <v>36040</v>
      </c>
      <c r="Q37" s="2" t="str">
        <f t="shared" ref="Q37:Q68" si="106">IF(P37&gt;0,(DATEDIF(P37,$P$1,"y")&amp;" años, "&amp;DATEDIF(P37,$P$1,"YM")&amp;" meses, "&amp;DATEDIF(P37,$P$1,"md")&amp;" dias."),0)</f>
        <v>20 años, 3 meses, 29 dias.</v>
      </c>
      <c r="R37" s="2">
        <f t="shared" ref="R37:R68" si="107">DATEDIF(P37,$P$1,"y")</f>
        <v>20</v>
      </c>
      <c r="S37" s="2">
        <f t="shared" ref="S37:S68" si="108">DATEDIF(P37,$P$1,"m")</f>
        <v>243</v>
      </c>
      <c r="T37" s="2">
        <f t="shared" ref="T37:T68" si="109">DATEDIF(P37,$P$1,"d")</f>
        <v>7425</v>
      </c>
      <c r="U37" s="46" t="s">
        <v>3</v>
      </c>
      <c r="V37" s="46">
        <v>16</v>
      </c>
      <c r="W37" s="46" t="s">
        <v>16</v>
      </c>
      <c r="X37" s="46">
        <v>40</v>
      </c>
      <c r="Y37" s="46" t="s">
        <v>15</v>
      </c>
      <c r="Z37" s="46" t="s">
        <v>1</v>
      </c>
      <c r="AA37" s="49">
        <f>IF(C37="Plaza sin presupuesto",0,IF(W37="si",IF(X37=30,VLOOKUP(V37,'[1]Tablas despensa y pasaje 2018'!$A$3:$I$38,2,0),IF(PLANTILLA!X37=40,VLOOKUP(PLANTILLA!V37,'[1]Tablas despensa y pasaje 2018'!$A$3:$I$38,6,0))),IF(X37=30,VLOOKUP(V37,'[1]Tablas despensa y pasaje 2018'!$A$41:$I$48,2,0),IF(X37=40,VLOOKUP(V37,'[1]Tablas despensa y pasaje 2018'!$A$41:$I$48,6,0),0))))</f>
        <v>17213</v>
      </c>
      <c r="AB37" s="49">
        <f>IF(C37="Plaza sin presupuesto",0,IF(W37="si",IF(X37=30,VLOOKUP(V37,'[1]Tablas despensa y pasaje 2018'!$A$3:$I$38,3,0),IF(PLANTILLA!X37=40,VLOOKUP(PLANTILLA!V37,'[1]Tablas despensa y pasaje 2018'!$A$3:$I$38,7,0))),IF(X37=30,VLOOKUP(V37,'[1]Tablas despensa y pasaje 2018'!$A$41:$I$48,3,0),IF(X37=40,VLOOKUP(V37,'[1]Tablas despensa y pasaje 2018'!$A$41:$I$48,7,0),0))))</f>
        <v>1247</v>
      </c>
      <c r="AC37" s="49">
        <f>IF(C37="Plaza sin presupuesto",0,IF(W37="si",IF(X37=30,VLOOKUP(V37,'[1]Tablas despensa y pasaje 2018'!$A$3:$I$38,4,0),IF(PLANTILLA!X37=40,VLOOKUP(PLANTILLA!V37,'[1]Tablas despensa y pasaje 2018'!$A$3:$I$38,8,0))),IF(X37=30,VLOOKUP(V37,'[1]Tablas despensa y pasaje 2018'!$A$41:$I$48,4,0),IF(X37=40,VLOOKUP(V37,'[1]Tablas despensa y pasaje 2018'!$A$41:$I$48,8,0),0))))</f>
        <v>779</v>
      </c>
      <c r="AD37" s="49">
        <f t="shared" ref="AD37:AD68" si="110">IF(AND(K37="SEIJAL",Y37="B"),AA37*0.03,0)</f>
        <v>0</v>
      </c>
      <c r="AE37" s="49">
        <f t="shared" ref="AE37:AE68" si="111">IF(AND(R37&gt;=5,R37&lt;10),$AD$2*2,IF(AND(R37&gt;=10,R37&lt;15),$AD$2*3,IF(AND(R37&gt;=15,R37&lt;20),$AD$2*4,IF(AND(R37&gt;=20,R37&lt;25),$AD$2*5,IF(AND(R37&gt;=25,R37&lt;30),$AD$2*6,IF(AND(R37&gt;=30,R37&lt;35),$AD$2*7,IF(AND(R37&gt;=35,R37&lt;40),$AD$2*8))))))*1)</f>
        <v>441.8</v>
      </c>
      <c r="AF37" s="49">
        <f t="shared" si="63"/>
        <v>8606.5</v>
      </c>
      <c r="AG37" s="49">
        <f t="shared" ref="AG37:AG68" si="112">IF(T37&lt;365,((((T37)*50)/365)*(AA37/30)),(AA37/30)*50)</f>
        <v>28688.333333333332</v>
      </c>
      <c r="AH37" s="49">
        <f t="shared" ref="AH37:AH68" si="113">IF(T37&gt;364,((AA37/30)*5),((T37*5)/365)*(AA37/30))</f>
        <v>2868.833333333333</v>
      </c>
      <c r="AI37" s="49">
        <f t="shared" si="64"/>
        <v>3012.2749999999996</v>
      </c>
      <c r="AJ37" s="49">
        <f t="shared" si="65"/>
        <v>516.39</v>
      </c>
      <c r="AK37" s="49">
        <f t="shared" si="66"/>
        <v>344.26</v>
      </c>
      <c r="AL37" s="49">
        <f t="shared" si="67"/>
        <v>826.22400000000005</v>
      </c>
      <c r="AM37" s="50">
        <f>IF((SUM(AA37:AE37)/2)=0,0,(((((SUM(AA37:AE37)/2)-(VLOOKUP((SUM(AA37:AE37)/2),'[1]Tablas ISR'!$A$4:$D$14,1,TRUE)))*(VLOOKUP((SUM(AA37:AE37)/2),'[1]Tablas ISR'!$A$4:$D$14,4,TRUE)))/100)+(VLOOKUP((SUM(AA37:AE37)/2),'[1]Tablas ISR'!$A$4:$D$14,3,TRUE)))*2)</f>
        <v>2927.4701279999999</v>
      </c>
      <c r="AN37" s="51">
        <f t="shared" si="68"/>
        <v>1979.4950000000001</v>
      </c>
      <c r="AO37" s="49">
        <f t="shared" si="69"/>
        <v>8606.5</v>
      </c>
      <c r="AP37" s="49">
        <f t="shared" si="70"/>
        <v>623.5</v>
      </c>
      <c r="AQ37" s="49">
        <f t="shared" si="71"/>
        <v>389.5</v>
      </c>
      <c r="AR37" s="49">
        <f t="shared" si="72"/>
        <v>0</v>
      </c>
      <c r="AS37" s="49">
        <f t="shared" si="73"/>
        <v>220.9</v>
      </c>
      <c r="AT37" s="49">
        <f t="shared" si="74"/>
        <v>1506.1374999999998</v>
      </c>
      <c r="AU37" s="49">
        <f t="shared" si="75"/>
        <v>258.19499999999999</v>
      </c>
      <c r="AV37" s="49">
        <f t="shared" si="76"/>
        <v>413.11200000000002</v>
      </c>
      <c r="AW37" s="52">
        <f t="shared" si="77"/>
        <v>7386.9174359999988</v>
      </c>
      <c r="AX37" s="3">
        <f t="shared" si="78"/>
        <v>573.76666666666665</v>
      </c>
      <c r="AY37" s="3">
        <f t="shared" si="79"/>
        <v>41.56666666666667</v>
      </c>
      <c r="AZ37" s="3">
        <f t="shared" si="80"/>
        <v>25.966666666666665</v>
      </c>
      <c r="BA37" s="3">
        <f t="shared" si="81"/>
        <v>0</v>
      </c>
      <c r="BB37" s="3">
        <f t="shared" si="82"/>
        <v>14.726666666666667</v>
      </c>
      <c r="BC37" s="3">
        <f t="shared" si="83"/>
        <v>23.579452054794519</v>
      </c>
      <c r="BD37" s="3">
        <f t="shared" si="84"/>
        <v>78.598173515981728</v>
      </c>
      <c r="BE37" s="3">
        <f t="shared" si="85"/>
        <v>7.8598173515981724</v>
      </c>
      <c r="BF37" s="3">
        <f t="shared" si="86"/>
        <v>100.40916666666665</v>
      </c>
      <c r="BG37" s="3">
        <f t="shared" si="87"/>
        <v>17.213000000000001</v>
      </c>
      <c r="BH37" s="3">
        <f t="shared" si="88"/>
        <v>11.475333333333333</v>
      </c>
      <c r="BI37" s="3">
        <f t="shared" si="89"/>
        <v>27.540800000000001</v>
      </c>
      <c r="BJ37" s="3">
        <f t="shared" si="90"/>
        <v>17213</v>
      </c>
      <c r="BK37" s="3">
        <f t="shared" si="91"/>
        <v>1247</v>
      </c>
      <c r="BL37" s="3">
        <f t="shared" si="92"/>
        <v>779</v>
      </c>
      <c r="BM37" s="3">
        <f t="shared" si="93"/>
        <v>0</v>
      </c>
      <c r="BN37" s="3">
        <f t="shared" si="94"/>
        <v>441.8</v>
      </c>
      <c r="BO37" s="3">
        <f t="shared" si="95"/>
        <v>717.20833333333337</v>
      </c>
      <c r="BP37" s="3">
        <f t="shared" si="96"/>
        <v>2390.6944444444443</v>
      </c>
      <c r="BQ37" s="3">
        <f t="shared" si="97"/>
        <v>239.06944444444443</v>
      </c>
      <c r="BR37" s="3">
        <f t="shared" si="98"/>
        <v>3012.2749999999996</v>
      </c>
      <c r="BS37" s="3">
        <f t="shared" si="99"/>
        <v>516.39</v>
      </c>
      <c r="BT37" s="3">
        <f t="shared" si="100"/>
        <v>344.26</v>
      </c>
      <c r="BU37" s="3">
        <f t="shared" si="101"/>
        <v>826.22400000000005</v>
      </c>
      <c r="BV37" s="53">
        <f t="shared" ref="BV37:BV68" si="114">AA37*12</f>
        <v>206556</v>
      </c>
      <c r="BW37" s="53">
        <f t="shared" ref="BW37:BW68" si="115">AB37*12</f>
        <v>14964</v>
      </c>
      <c r="BX37" s="53">
        <f t="shared" ref="BX37:BX68" si="116">AC37*12</f>
        <v>9348</v>
      </c>
      <c r="BY37" s="53">
        <f t="shared" ref="BY37:BY68" si="117">AD37*12</f>
        <v>0</v>
      </c>
      <c r="BZ37" s="53">
        <f t="shared" ref="BZ37:BZ68" si="118">AE37*12</f>
        <v>5301.6</v>
      </c>
      <c r="CA37" s="53">
        <f t="shared" ref="CA37:CA68" si="119">AF37</f>
        <v>8606.5</v>
      </c>
      <c r="CB37" s="53">
        <f t="shared" ref="CB37:CB68" si="120">AG37</f>
        <v>28688.333333333332</v>
      </c>
      <c r="CC37" s="53">
        <f t="shared" ref="CC37:CC68" si="121">AH37</f>
        <v>2868.833333333333</v>
      </c>
      <c r="CD37" s="53">
        <f t="shared" ref="CD37:CD68" si="122">AI37*12</f>
        <v>36147.299999999996</v>
      </c>
      <c r="CE37" s="53">
        <f t="shared" ref="CE37:CE68" si="123">AJ37*12</f>
        <v>6196.68</v>
      </c>
      <c r="CF37" s="53">
        <f t="shared" ref="CF37:CF68" si="124">AK37*12</f>
        <v>4131.12</v>
      </c>
      <c r="CG37" s="53">
        <f t="shared" ref="CG37:CG68" si="125">AL37*12</f>
        <v>9914.6880000000001</v>
      </c>
      <c r="CH37" s="54">
        <f t="shared" ref="CH37:CH68" si="126">SUM(BV37:CG37)</f>
        <v>332723.05466666666</v>
      </c>
      <c r="CI37" s="46"/>
      <c r="CJ37" s="46"/>
      <c r="CK37" s="46"/>
      <c r="CL37" s="46"/>
      <c r="CM37" s="46"/>
      <c r="CN37" s="46"/>
      <c r="CO37" s="46"/>
      <c r="CP37" s="46"/>
    </row>
    <row r="38" spans="1:94" ht="27" customHeight="1" x14ac:dyDescent="0.2">
      <c r="A38" s="8">
        <v>34</v>
      </c>
      <c r="B38" s="8">
        <v>104</v>
      </c>
      <c r="C38" s="43" t="s">
        <v>148</v>
      </c>
      <c r="D38" s="44" t="str">
        <f t="shared" si="102"/>
        <v>Macedo</v>
      </c>
      <c r="E38" s="44" t="str">
        <f t="shared" si="103"/>
        <v xml:space="preserve">Ruiz </v>
      </c>
      <c r="F38" s="44" t="str">
        <f t="shared" si="104"/>
        <v>Edith Cecilia</v>
      </c>
      <c r="G38" s="8">
        <v>2</v>
      </c>
      <c r="H38" s="8" t="s">
        <v>147</v>
      </c>
      <c r="I38" s="45" t="s">
        <v>146</v>
      </c>
      <c r="J38" s="45" t="s">
        <v>140</v>
      </c>
      <c r="K38" s="46" t="s">
        <v>23</v>
      </c>
      <c r="L38" s="46" t="s">
        <v>17</v>
      </c>
      <c r="M38" s="46" t="s">
        <v>30</v>
      </c>
      <c r="N38" s="47" t="str">
        <f>IF(H38&gt;0,MID(H38,9,2)&amp;"/"&amp;MID(H38,7,2)&amp;"/"&amp;MID(H38,5,2),0)</f>
        <v>28/03/90</v>
      </c>
      <c r="O38" s="48">
        <f t="shared" ca="1" si="105"/>
        <v>27</v>
      </c>
      <c r="P38" s="1">
        <v>42917</v>
      </c>
      <c r="Q38" s="2" t="str">
        <f t="shared" si="106"/>
        <v>1 años, 5 meses, 30 dias.</v>
      </c>
      <c r="R38" s="2">
        <f t="shared" si="107"/>
        <v>1</v>
      </c>
      <c r="S38" s="2">
        <f t="shared" si="108"/>
        <v>17</v>
      </c>
      <c r="T38" s="2">
        <f t="shared" si="109"/>
        <v>548</v>
      </c>
      <c r="U38" s="46" t="s">
        <v>3</v>
      </c>
      <c r="V38" s="46">
        <v>15</v>
      </c>
      <c r="W38" s="46" t="s">
        <v>16</v>
      </c>
      <c r="X38" s="46">
        <v>40</v>
      </c>
      <c r="Y38" s="46" t="s">
        <v>15</v>
      </c>
      <c r="Z38" s="46" t="s">
        <v>1</v>
      </c>
      <c r="AA38" s="49">
        <f>IF(C38="Plaza sin presupuesto",0,IF(W38="si",IF(X38=30,VLOOKUP(V38,'[1]Tablas despensa y pasaje 2018'!$A$3:$I$38,2,0),IF(PLANTILLA!X38=40,VLOOKUP(PLANTILLA!V38,'[1]Tablas despensa y pasaje 2018'!$A$3:$I$38,6,0))),IF(X38=30,VLOOKUP(V38,'[1]Tablas despensa y pasaje 2018'!$A$41:$I$48,2,0),IF(X38=40,VLOOKUP(V38,'[1]Tablas despensa y pasaje 2018'!$A$41:$I$48,6,0),0))))</f>
        <v>15675</v>
      </c>
      <c r="AB38" s="49">
        <f>IF(C38="Plaza sin presupuesto",0,IF(W38="si",IF(X38=30,VLOOKUP(V38,'[1]Tablas despensa y pasaje 2018'!$A$3:$I$38,3,0),IF(PLANTILLA!X38=40,VLOOKUP(PLANTILLA!V38,'[1]Tablas despensa y pasaje 2018'!$A$3:$I$38,7,0))),IF(X38=30,VLOOKUP(V38,'[1]Tablas despensa y pasaje 2018'!$A$41:$I$48,3,0),IF(X38=40,VLOOKUP(V38,'[1]Tablas despensa y pasaje 2018'!$A$41:$I$48,7,0),0))))</f>
        <v>1206</v>
      </c>
      <c r="AC38" s="49">
        <f>IF(C38="Plaza sin presupuesto",0,IF(W38="si",IF(X38=30,VLOOKUP(V38,'[1]Tablas despensa y pasaje 2018'!$A$3:$I$38,4,0),IF(PLANTILLA!X38=40,VLOOKUP(PLANTILLA!V38,'[1]Tablas despensa y pasaje 2018'!$A$3:$I$38,8,0))),IF(X38=30,VLOOKUP(V38,'[1]Tablas despensa y pasaje 2018'!$A$41:$I$48,4,0),IF(X38=40,VLOOKUP(V38,'[1]Tablas despensa y pasaje 2018'!$A$41:$I$48,8,0),0))))</f>
        <v>755</v>
      </c>
      <c r="AD38" s="49">
        <f t="shared" si="110"/>
        <v>0</v>
      </c>
      <c r="AE38" s="49">
        <f t="shared" si="111"/>
        <v>0</v>
      </c>
      <c r="AF38" s="49">
        <f t="shared" ref="AF38:AF69" si="127">IF((DATEDIF(P38,$AE$1,"d"))&lt;365,((((DATEDIF(P38,$AE$1,"d"))*15)/365)*(AA38/30)),IF(AND(K38="SEIJAL",Y38="B"),((AA38+AB38+AC38+AD38+AE38)/30)*15,(AA38/30)*15))</f>
        <v>7837.5</v>
      </c>
      <c r="AG38" s="49">
        <f t="shared" si="112"/>
        <v>26125</v>
      </c>
      <c r="AH38" s="49">
        <f t="shared" si="113"/>
        <v>2612.5</v>
      </c>
      <c r="AI38" s="49">
        <f t="shared" si="64"/>
        <v>2743.125</v>
      </c>
      <c r="AJ38" s="49">
        <f t="shared" si="65"/>
        <v>470.25</v>
      </c>
      <c r="AK38" s="49">
        <f t="shared" si="66"/>
        <v>313.5</v>
      </c>
      <c r="AL38" s="49">
        <f t="shared" si="67"/>
        <v>752.4</v>
      </c>
      <c r="AM38" s="50">
        <f>IF((SUM(AA38:AE38)/2)=0,0,(((((SUM(AA38:AE38)/2)-(VLOOKUP((SUM(AA38:AE38)/2),'[1]Tablas ISR'!$A$4:$D$14,1,TRUE)))*(VLOOKUP((SUM(AA38:AE38)/2),'[1]Tablas ISR'!$A$4:$D$14,4,TRUE)))/100)+(VLOOKUP((SUM(AA38:AE38)/2),'[1]Tablas ISR'!$A$4:$D$14,3,TRUE)))*2)</f>
        <v>2490.700848</v>
      </c>
      <c r="AN38" s="51">
        <f t="shared" si="68"/>
        <v>1802.625</v>
      </c>
      <c r="AO38" s="49">
        <f t="shared" si="69"/>
        <v>7837.5</v>
      </c>
      <c r="AP38" s="49">
        <f t="shared" si="70"/>
        <v>603</v>
      </c>
      <c r="AQ38" s="49">
        <f t="shared" si="71"/>
        <v>377.5</v>
      </c>
      <c r="AR38" s="49">
        <f t="shared" si="72"/>
        <v>0</v>
      </c>
      <c r="AS38" s="49">
        <f t="shared" si="73"/>
        <v>0</v>
      </c>
      <c r="AT38" s="49">
        <f t="shared" si="74"/>
        <v>1371.5625</v>
      </c>
      <c r="AU38" s="49">
        <f t="shared" si="75"/>
        <v>235.125</v>
      </c>
      <c r="AV38" s="49">
        <f t="shared" si="76"/>
        <v>376.2</v>
      </c>
      <c r="AW38" s="52">
        <f t="shared" si="77"/>
        <v>6671.3370759999998</v>
      </c>
      <c r="AX38" s="3">
        <f t="shared" si="78"/>
        <v>522.5</v>
      </c>
      <c r="AY38" s="3">
        <f t="shared" si="79"/>
        <v>40.200000000000003</v>
      </c>
      <c r="AZ38" s="3">
        <f t="shared" si="80"/>
        <v>25.166666666666668</v>
      </c>
      <c r="BA38" s="3">
        <f t="shared" si="81"/>
        <v>0</v>
      </c>
      <c r="BB38" s="3">
        <f t="shared" si="82"/>
        <v>0</v>
      </c>
      <c r="BC38" s="3">
        <f t="shared" si="83"/>
        <v>21.472602739726028</v>
      </c>
      <c r="BD38" s="3">
        <f t="shared" si="84"/>
        <v>71.575342465753423</v>
      </c>
      <c r="BE38" s="3">
        <f t="shared" si="85"/>
        <v>7.1575342465753424</v>
      </c>
      <c r="BF38" s="3">
        <f t="shared" si="86"/>
        <v>91.4375</v>
      </c>
      <c r="BG38" s="3">
        <f t="shared" si="87"/>
        <v>15.675000000000001</v>
      </c>
      <c r="BH38" s="3">
        <f t="shared" si="88"/>
        <v>10.45</v>
      </c>
      <c r="BI38" s="3">
        <f t="shared" si="89"/>
        <v>25.08</v>
      </c>
      <c r="BJ38" s="3">
        <f t="shared" si="90"/>
        <v>15675</v>
      </c>
      <c r="BK38" s="3">
        <f t="shared" si="91"/>
        <v>1206</v>
      </c>
      <c r="BL38" s="3">
        <f t="shared" si="92"/>
        <v>755</v>
      </c>
      <c r="BM38" s="3">
        <f t="shared" si="93"/>
        <v>0</v>
      </c>
      <c r="BN38" s="3">
        <f t="shared" si="94"/>
        <v>0</v>
      </c>
      <c r="BO38" s="3">
        <f t="shared" si="95"/>
        <v>653.125</v>
      </c>
      <c r="BP38" s="3">
        <f t="shared" si="96"/>
        <v>2177.0833333333335</v>
      </c>
      <c r="BQ38" s="3">
        <f t="shared" si="97"/>
        <v>217.70833333333334</v>
      </c>
      <c r="BR38" s="3">
        <f t="shared" si="98"/>
        <v>2743.125</v>
      </c>
      <c r="BS38" s="3">
        <f t="shared" si="99"/>
        <v>470.25</v>
      </c>
      <c r="BT38" s="3">
        <f t="shared" si="100"/>
        <v>313.5</v>
      </c>
      <c r="BU38" s="3">
        <f t="shared" si="101"/>
        <v>752.4</v>
      </c>
      <c r="BV38" s="53">
        <f t="shared" si="114"/>
        <v>188100</v>
      </c>
      <c r="BW38" s="53">
        <f t="shared" si="115"/>
        <v>14472</v>
      </c>
      <c r="BX38" s="53">
        <f t="shared" si="116"/>
        <v>9060</v>
      </c>
      <c r="BY38" s="53">
        <f t="shared" si="117"/>
        <v>0</v>
      </c>
      <c r="BZ38" s="53">
        <f t="shared" si="118"/>
        <v>0</v>
      </c>
      <c r="CA38" s="53">
        <f t="shared" si="119"/>
        <v>7837.5</v>
      </c>
      <c r="CB38" s="53">
        <f t="shared" si="120"/>
        <v>26125</v>
      </c>
      <c r="CC38" s="53">
        <f t="shared" si="121"/>
        <v>2612.5</v>
      </c>
      <c r="CD38" s="53">
        <f t="shared" si="122"/>
        <v>32917.5</v>
      </c>
      <c r="CE38" s="53">
        <f t="shared" si="123"/>
        <v>5643</v>
      </c>
      <c r="CF38" s="53">
        <f t="shared" si="124"/>
        <v>3762</v>
      </c>
      <c r="CG38" s="53">
        <f t="shared" si="125"/>
        <v>9028.7999999999993</v>
      </c>
      <c r="CH38" s="54">
        <f t="shared" si="126"/>
        <v>299558.3</v>
      </c>
      <c r="CI38" s="46"/>
      <c r="CJ38" s="46"/>
      <c r="CK38" s="46"/>
      <c r="CL38" s="46"/>
      <c r="CM38" s="46"/>
      <c r="CN38" s="46"/>
      <c r="CO38" s="46"/>
      <c r="CP38" s="46"/>
    </row>
    <row r="39" spans="1:94" ht="27" customHeight="1" x14ac:dyDescent="0.2">
      <c r="A39" s="8">
        <v>35</v>
      </c>
      <c r="B39" s="8">
        <v>472</v>
      </c>
      <c r="C39" s="43" t="s">
        <v>145</v>
      </c>
      <c r="D39" s="44" t="str">
        <f t="shared" si="102"/>
        <v>Cossio</v>
      </c>
      <c r="E39" s="44" t="str">
        <f t="shared" si="103"/>
        <v xml:space="preserve">Franco </v>
      </c>
      <c r="F39" s="44" t="str">
        <f t="shared" si="104"/>
        <v>Edgar Gonzalo</v>
      </c>
      <c r="G39" s="8">
        <v>2</v>
      </c>
      <c r="H39" s="8" t="s">
        <v>144</v>
      </c>
      <c r="I39" s="45" t="s">
        <v>143</v>
      </c>
      <c r="J39" s="45" t="s">
        <v>140</v>
      </c>
      <c r="K39" s="46" t="s">
        <v>18</v>
      </c>
      <c r="L39" s="46" t="s">
        <v>5</v>
      </c>
      <c r="M39" s="46" t="s">
        <v>142</v>
      </c>
      <c r="N39" s="47" t="str">
        <f>IF(H39&gt;0,MID(H39,9,2)&amp;"/"&amp;MID(H39,7,2)&amp;"/"&amp;MID(H39,5,2),0)</f>
        <v>29/08/83</v>
      </c>
      <c r="O39" s="48">
        <f t="shared" ca="1" si="105"/>
        <v>34</v>
      </c>
      <c r="P39" s="1">
        <v>38214</v>
      </c>
      <c r="Q39" s="2" t="str">
        <f t="shared" si="106"/>
        <v>14 años, 4 meses, 16 dias.</v>
      </c>
      <c r="R39" s="2">
        <f t="shared" si="107"/>
        <v>14</v>
      </c>
      <c r="S39" s="2">
        <f t="shared" si="108"/>
        <v>172</v>
      </c>
      <c r="T39" s="2">
        <f t="shared" si="109"/>
        <v>5251</v>
      </c>
      <c r="U39" s="46" t="s">
        <v>3</v>
      </c>
      <c r="V39" s="46">
        <v>14</v>
      </c>
      <c r="W39" s="46" t="s">
        <v>16</v>
      </c>
      <c r="X39" s="46">
        <v>40</v>
      </c>
      <c r="Y39" s="46" t="s">
        <v>2</v>
      </c>
      <c r="Z39" s="46" t="s">
        <v>16</v>
      </c>
      <c r="AA39" s="49">
        <f>IF(C39="Plaza sin presupuesto",0,IF(W39="si",IF(X39=30,VLOOKUP(V39,'[1]Tablas despensa y pasaje 2018'!$A$3:$I$38,2,0),IF(PLANTILLA!X39=40,VLOOKUP(PLANTILLA!V39,'[1]Tablas despensa y pasaje 2018'!$A$3:$I$38,6,0))),IF(X39=30,VLOOKUP(V39,'[1]Tablas despensa y pasaje 2018'!$A$41:$I$48,2,0),IF(X39=40,VLOOKUP(V39,'[1]Tablas despensa y pasaje 2018'!$A$41:$I$48,6,0),0))))</f>
        <v>14217</v>
      </c>
      <c r="AB39" s="49">
        <f>IF(C39="Plaza sin presupuesto",0,IF(W39="si",IF(X39=30,VLOOKUP(V39,'[1]Tablas despensa y pasaje 2018'!$A$3:$I$38,3,0),IF(PLANTILLA!X39=40,VLOOKUP(PLANTILLA!V39,'[1]Tablas despensa y pasaje 2018'!$A$3:$I$38,7,0))),IF(X39=30,VLOOKUP(V39,'[1]Tablas despensa y pasaje 2018'!$A$41:$I$48,3,0),IF(X39=40,VLOOKUP(V39,'[1]Tablas despensa y pasaje 2018'!$A$41:$I$48,7,0),0))))</f>
        <v>1163</v>
      </c>
      <c r="AC39" s="49">
        <f>IF(C39="Plaza sin presupuesto",0,IF(W39="si",IF(X39=30,VLOOKUP(V39,'[1]Tablas despensa y pasaje 2018'!$A$3:$I$38,4,0),IF(PLANTILLA!X39=40,VLOOKUP(PLANTILLA!V39,'[1]Tablas despensa y pasaje 2018'!$A$3:$I$38,8,0))),IF(X39=30,VLOOKUP(V39,'[1]Tablas despensa y pasaje 2018'!$A$41:$I$48,4,0),IF(X39=40,VLOOKUP(V39,'[1]Tablas despensa y pasaje 2018'!$A$41:$I$48,8,0),0))))</f>
        <v>722</v>
      </c>
      <c r="AD39" s="49">
        <f t="shared" si="110"/>
        <v>0</v>
      </c>
      <c r="AE39" s="49">
        <f t="shared" si="111"/>
        <v>265.08</v>
      </c>
      <c r="AF39" s="49">
        <f t="shared" si="127"/>
        <v>7108.5</v>
      </c>
      <c r="AG39" s="49">
        <f t="shared" si="112"/>
        <v>23695</v>
      </c>
      <c r="AH39" s="49">
        <f t="shared" si="113"/>
        <v>2369.5</v>
      </c>
      <c r="AI39" s="49">
        <f t="shared" si="64"/>
        <v>2487.9749999999999</v>
      </c>
      <c r="AJ39" s="49">
        <f t="shared" si="65"/>
        <v>426.51</v>
      </c>
      <c r="AK39" s="49">
        <f t="shared" si="66"/>
        <v>284.34000000000003</v>
      </c>
      <c r="AL39" s="49">
        <f t="shared" si="67"/>
        <v>682.41600000000005</v>
      </c>
      <c r="AM39" s="50">
        <f>IF((SUM(AA39:AE39)/2)=0,0,(((((SUM(AA39:AE39)/2)-(VLOOKUP((SUM(AA39:AE39)/2),'[1]Tablas ISR'!$A$4:$D$14,1,TRUE)))*(VLOOKUP((SUM(AA39:AE39)/2),'[1]Tablas ISR'!$A$4:$D$14,4,TRUE)))/100)+(VLOOKUP((SUM(AA39:AE39)/2),'[1]Tablas ISR'!$A$4:$D$14,3,TRUE)))*2)</f>
        <v>2219.6595360000001</v>
      </c>
      <c r="AN39" s="51">
        <f t="shared" si="68"/>
        <v>1634.9550000000002</v>
      </c>
      <c r="AO39" s="49">
        <f t="shared" si="69"/>
        <v>7108.5</v>
      </c>
      <c r="AP39" s="49">
        <f t="shared" si="70"/>
        <v>581.5</v>
      </c>
      <c r="AQ39" s="49">
        <f t="shared" si="71"/>
        <v>361</v>
      </c>
      <c r="AR39" s="49">
        <f t="shared" si="72"/>
        <v>0</v>
      </c>
      <c r="AS39" s="49">
        <f t="shared" si="73"/>
        <v>132.54</v>
      </c>
      <c r="AT39" s="49">
        <f t="shared" si="74"/>
        <v>1243.9875</v>
      </c>
      <c r="AU39" s="49">
        <f t="shared" si="75"/>
        <v>213.255</v>
      </c>
      <c r="AV39" s="49">
        <f t="shared" si="76"/>
        <v>341.20800000000003</v>
      </c>
      <c r="AW39" s="52">
        <f t="shared" si="77"/>
        <v>6256.2327319999995</v>
      </c>
      <c r="AX39" s="3">
        <f t="shared" si="78"/>
        <v>473.9</v>
      </c>
      <c r="AY39" s="3">
        <f t="shared" si="79"/>
        <v>38.766666666666666</v>
      </c>
      <c r="AZ39" s="3">
        <f t="shared" si="80"/>
        <v>24.066666666666666</v>
      </c>
      <c r="BA39" s="3">
        <f t="shared" si="81"/>
        <v>0</v>
      </c>
      <c r="BB39" s="3">
        <f t="shared" si="82"/>
        <v>8.8360000000000003</v>
      </c>
      <c r="BC39" s="3">
        <f t="shared" si="83"/>
        <v>19.475342465753425</v>
      </c>
      <c r="BD39" s="3">
        <f t="shared" si="84"/>
        <v>64.917808219178085</v>
      </c>
      <c r="BE39" s="3">
        <f t="shared" si="85"/>
        <v>6.4917808219178079</v>
      </c>
      <c r="BF39" s="3">
        <f t="shared" si="86"/>
        <v>82.93249999999999</v>
      </c>
      <c r="BG39" s="3">
        <f t="shared" si="87"/>
        <v>14.217000000000001</v>
      </c>
      <c r="BH39" s="3">
        <f t="shared" si="88"/>
        <v>9.4780000000000015</v>
      </c>
      <c r="BI39" s="3">
        <f t="shared" si="89"/>
        <v>22.747200000000003</v>
      </c>
      <c r="BJ39" s="3">
        <f t="shared" si="90"/>
        <v>14217</v>
      </c>
      <c r="BK39" s="3">
        <f t="shared" si="91"/>
        <v>1163</v>
      </c>
      <c r="BL39" s="3">
        <f t="shared" si="92"/>
        <v>722</v>
      </c>
      <c r="BM39" s="3">
        <f t="shared" si="93"/>
        <v>0</v>
      </c>
      <c r="BN39" s="3">
        <f t="shared" si="94"/>
        <v>265.08</v>
      </c>
      <c r="BO39" s="3">
        <f t="shared" si="95"/>
        <v>592.375</v>
      </c>
      <c r="BP39" s="3">
        <f t="shared" si="96"/>
        <v>1974.5833333333333</v>
      </c>
      <c r="BQ39" s="3">
        <f t="shared" si="97"/>
        <v>197.45833333333334</v>
      </c>
      <c r="BR39" s="3">
        <f t="shared" si="98"/>
        <v>2487.9749999999999</v>
      </c>
      <c r="BS39" s="3">
        <f t="shared" si="99"/>
        <v>426.51</v>
      </c>
      <c r="BT39" s="3">
        <f t="shared" si="100"/>
        <v>284.34000000000003</v>
      </c>
      <c r="BU39" s="3">
        <f t="shared" si="101"/>
        <v>682.41600000000005</v>
      </c>
      <c r="BV39" s="53">
        <f t="shared" si="114"/>
        <v>170604</v>
      </c>
      <c r="BW39" s="53">
        <f t="shared" si="115"/>
        <v>13956</v>
      </c>
      <c r="BX39" s="53">
        <f t="shared" si="116"/>
        <v>8664</v>
      </c>
      <c r="BY39" s="53">
        <f t="shared" si="117"/>
        <v>0</v>
      </c>
      <c r="BZ39" s="53">
        <f t="shared" si="118"/>
        <v>3180.96</v>
      </c>
      <c r="CA39" s="53">
        <f t="shared" si="119"/>
        <v>7108.5</v>
      </c>
      <c r="CB39" s="53">
        <f t="shared" si="120"/>
        <v>23695</v>
      </c>
      <c r="CC39" s="53">
        <f t="shared" si="121"/>
        <v>2369.5</v>
      </c>
      <c r="CD39" s="53">
        <f t="shared" si="122"/>
        <v>29855.699999999997</v>
      </c>
      <c r="CE39" s="53">
        <f t="shared" si="123"/>
        <v>5118.12</v>
      </c>
      <c r="CF39" s="53">
        <f t="shared" si="124"/>
        <v>3412.0800000000004</v>
      </c>
      <c r="CG39" s="53">
        <f t="shared" si="125"/>
        <v>8188.9920000000002</v>
      </c>
      <c r="CH39" s="54">
        <f t="shared" si="126"/>
        <v>276152.85200000001</v>
      </c>
      <c r="CI39" s="46"/>
      <c r="CJ39" s="46"/>
      <c r="CK39" s="46"/>
      <c r="CL39" s="46"/>
      <c r="CM39" s="46"/>
      <c r="CN39" s="46"/>
      <c r="CO39" s="46"/>
      <c r="CP39" s="46"/>
    </row>
    <row r="40" spans="1:94" s="68" customFormat="1" ht="27" customHeight="1" x14ac:dyDescent="0.2">
      <c r="A40" s="56">
        <v>36</v>
      </c>
      <c r="B40" s="56">
        <v>473</v>
      </c>
      <c r="C40" s="56" t="s">
        <v>38</v>
      </c>
      <c r="D40" s="56" t="str">
        <f t="shared" si="102"/>
        <v>Plaza</v>
      </c>
      <c r="E40" s="56" t="str">
        <f t="shared" si="103"/>
        <v xml:space="preserve">sin </v>
      </c>
      <c r="F40" s="56" t="str">
        <f t="shared" si="104"/>
        <v>presupuesto</v>
      </c>
      <c r="G40" s="56">
        <v>2</v>
      </c>
      <c r="H40" s="56"/>
      <c r="I40" s="57" t="s">
        <v>141</v>
      </c>
      <c r="J40" s="57" t="s">
        <v>140</v>
      </c>
      <c r="K40" s="58"/>
      <c r="L40" s="58"/>
      <c r="M40" s="58"/>
      <c r="N40" s="59">
        <f>IF(H40&gt;0,MID(H40,9,2)&amp;"/"&amp;MID(H40,7,2)&amp;"/"&amp;MID(H40,5,2),0)</f>
        <v>0</v>
      </c>
      <c r="O40" s="58" t="str">
        <f t="shared" ca="1" si="105"/>
        <v>N/A</v>
      </c>
      <c r="P40" s="6"/>
      <c r="Q40" s="4">
        <f t="shared" si="106"/>
        <v>0</v>
      </c>
      <c r="R40" s="4">
        <f t="shared" si="107"/>
        <v>118</v>
      </c>
      <c r="S40" s="4">
        <f t="shared" si="108"/>
        <v>1427</v>
      </c>
      <c r="T40" s="4">
        <f t="shared" si="109"/>
        <v>43465</v>
      </c>
      <c r="U40" s="58" t="s">
        <v>3</v>
      </c>
      <c r="V40" s="58">
        <v>10</v>
      </c>
      <c r="W40" s="58" t="s">
        <v>16</v>
      </c>
      <c r="X40" s="58">
        <v>40</v>
      </c>
      <c r="Y40" s="58" t="s">
        <v>2</v>
      </c>
      <c r="Z40" s="58" t="s">
        <v>16</v>
      </c>
      <c r="AA40" s="61">
        <f>IF(C40="Plaza sin presupuesto",0,IF(W40="si",IF(X40=30,VLOOKUP(V40,'[1]Tablas despensa y pasaje 2018'!$A$3:$I$38,2,0),IF(PLANTILLA!X40=40,VLOOKUP(PLANTILLA!V40,'[1]Tablas despensa y pasaje 2018'!$A$3:$I$38,6,0))),IF(X40=30,VLOOKUP(V40,'[1]Tablas despensa y pasaje 2018'!$A$41:$I$48,2,0),IF(X40=40,VLOOKUP(V40,'[1]Tablas despensa y pasaje 2018'!$A$41:$I$48,6,0),0))))</f>
        <v>0</v>
      </c>
      <c r="AB40" s="61">
        <f>IF(C40="Plaza sin presupuesto",0,IF(W40="si",IF(X40=30,VLOOKUP(V40,'[1]Tablas despensa y pasaje 2018'!$A$3:$I$38,3,0),IF(PLANTILLA!X40=40,VLOOKUP(PLANTILLA!V40,'[1]Tablas despensa y pasaje 2018'!$A$3:$I$38,7,0))),IF(X40=30,VLOOKUP(V40,'[1]Tablas despensa y pasaje 2018'!$A$41:$I$48,3,0),IF(X40=40,VLOOKUP(V40,'[1]Tablas despensa y pasaje 2018'!$A$41:$I$48,7,0),0))))</f>
        <v>0</v>
      </c>
      <c r="AC40" s="61">
        <f>IF(C40="Plaza sin presupuesto",0,IF(W40="si",IF(X40=30,VLOOKUP(V40,'[1]Tablas despensa y pasaje 2018'!$A$3:$I$38,4,0),IF(PLANTILLA!X40=40,VLOOKUP(PLANTILLA!V40,'[1]Tablas despensa y pasaje 2018'!$A$3:$I$38,8,0))),IF(X40=30,VLOOKUP(V40,'[1]Tablas despensa y pasaje 2018'!$A$41:$I$48,4,0),IF(X40=40,VLOOKUP(V40,'[1]Tablas despensa y pasaje 2018'!$A$41:$I$48,8,0),0))))</f>
        <v>0</v>
      </c>
      <c r="AD40" s="61">
        <f t="shared" si="110"/>
        <v>0</v>
      </c>
      <c r="AE40" s="61">
        <f t="shared" si="111"/>
        <v>0</v>
      </c>
      <c r="AF40" s="61">
        <f t="shared" si="127"/>
        <v>0</v>
      </c>
      <c r="AG40" s="61">
        <f t="shared" si="112"/>
        <v>0</v>
      </c>
      <c r="AH40" s="61">
        <f t="shared" si="113"/>
        <v>0</v>
      </c>
      <c r="AI40" s="61">
        <f t="shared" si="64"/>
        <v>0</v>
      </c>
      <c r="AJ40" s="61">
        <f t="shared" si="65"/>
        <v>0</v>
      </c>
      <c r="AK40" s="61">
        <f t="shared" si="66"/>
        <v>0</v>
      </c>
      <c r="AL40" s="61">
        <f t="shared" si="67"/>
        <v>0</v>
      </c>
      <c r="AM40" s="62">
        <f>IF((SUM(AA40:AE40)/2)=0,0,(((((SUM(AA40:AE40)/2)-(VLOOKUP((SUM(AA40:AE40)/2),'[1]Tablas ISR'!$A$4:$D$14,1,TRUE)))*(VLOOKUP((SUM(AA40:AE40)/2),'[1]Tablas ISR'!$A$4:$D$14,4,TRUE)))/100)+(VLOOKUP((SUM(AA40:AE40)/2),'[1]Tablas ISR'!$A$4:$D$14,3,TRUE)))*2)</f>
        <v>0</v>
      </c>
      <c r="AN40" s="63">
        <f t="shared" si="68"/>
        <v>0</v>
      </c>
      <c r="AO40" s="61">
        <f t="shared" si="69"/>
        <v>0</v>
      </c>
      <c r="AP40" s="61">
        <f t="shared" si="70"/>
        <v>0</v>
      </c>
      <c r="AQ40" s="61">
        <f t="shared" si="71"/>
        <v>0</v>
      </c>
      <c r="AR40" s="61">
        <f t="shared" si="72"/>
        <v>0</v>
      </c>
      <c r="AS40" s="61">
        <f t="shared" si="73"/>
        <v>0</v>
      </c>
      <c r="AT40" s="61">
        <f t="shared" si="74"/>
        <v>0</v>
      </c>
      <c r="AU40" s="61">
        <f t="shared" si="75"/>
        <v>0</v>
      </c>
      <c r="AV40" s="61">
        <f t="shared" si="76"/>
        <v>0</v>
      </c>
      <c r="AW40" s="64">
        <f t="shared" si="77"/>
        <v>0</v>
      </c>
      <c r="AX40" s="5">
        <f t="shared" si="78"/>
        <v>0</v>
      </c>
      <c r="AY40" s="5">
        <f t="shared" si="79"/>
        <v>0</v>
      </c>
      <c r="AZ40" s="5">
        <f t="shared" si="80"/>
        <v>0</v>
      </c>
      <c r="BA40" s="5">
        <f t="shared" si="81"/>
        <v>0</v>
      </c>
      <c r="BB40" s="5">
        <f t="shared" si="82"/>
        <v>0</v>
      </c>
      <c r="BC40" s="5">
        <f t="shared" si="83"/>
        <v>0</v>
      </c>
      <c r="BD40" s="5">
        <f t="shared" si="84"/>
        <v>0</v>
      </c>
      <c r="BE40" s="5">
        <f t="shared" si="85"/>
        <v>0</v>
      </c>
      <c r="BF40" s="5">
        <f t="shared" si="86"/>
        <v>0</v>
      </c>
      <c r="BG40" s="5">
        <f t="shared" si="87"/>
        <v>0</v>
      </c>
      <c r="BH40" s="5">
        <f t="shared" si="88"/>
        <v>0</v>
      </c>
      <c r="BI40" s="5">
        <f t="shared" si="89"/>
        <v>0</v>
      </c>
      <c r="BJ40" s="5">
        <f t="shared" si="90"/>
        <v>0</v>
      </c>
      <c r="BK40" s="5">
        <f t="shared" si="91"/>
        <v>0</v>
      </c>
      <c r="BL40" s="5">
        <f t="shared" si="92"/>
        <v>0</v>
      </c>
      <c r="BM40" s="5">
        <f t="shared" si="93"/>
        <v>0</v>
      </c>
      <c r="BN40" s="5">
        <f t="shared" si="94"/>
        <v>0</v>
      </c>
      <c r="BO40" s="5">
        <f t="shared" si="95"/>
        <v>0</v>
      </c>
      <c r="BP40" s="5">
        <f t="shared" si="96"/>
        <v>0</v>
      </c>
      <c r="BQ40" s="5">
        <f t="shared" si="97"/>
        <v>0</v>
      </c>
      <c r="BR40" s="5">
        <f t="shared" si="98"/>
        <v>0</v>
      </c>
      <c r="BS40" s="5">
        <f t="shared" si="99"/>
        <v>0</v>
      </c>
      <c r="BT40" s="5">
        <f t="shared" si="100"/>
        <v>0</v>
      </c>
      <c r="BU40" s="5">
        <f t="shared" si="101"/>
        <v>0</v>
      </c>
      <c r="BV40" s="65">
        <f t="shared" si="114"/>
        <v>0</v>
      </c>
      <c r="BW40" s="65">
        <f t="shared" si="115"/>
        <v>0</v>
      </c>
      <c r="BX40" s="65">
        <f t="shared" si="116"/>
        <v>0</v>
      </c>
      <c r="BY40" s="65">
        <f t="shared" si="117"/>
        <v>0</v>
      </c>
      <c r="BZ40" s="65">
        <f t="shared" si="118"/>
        <v>0</v>
      </c>
      <c r="CA40" s="65">
        <f t="shared" si="119"/>
        <v>0</v>
      </c>
      <c r="CB40" s="65">
        <f t="shared" si="120"/>
        <v>0</v>
      </c>
      <c r="CC40" s="65">
        <f t="shared" si="121"/>
        <v>0</v>
      </c>
      <c r="CD40" s="65">
        <f t="shared" si="122"/>
        <v>0</v>
      </c>
      <c r="CE40" s="65">
        <f t="shared" si="123"/>
        <v>0</v>
      </c>
      <c r="CF40" s="65">
        <f t="shared" si="124"/>
        <v>0</v>
      </c>
      <c r="CG40" s="65">
        <f t="shared" si="125"/>
        <v>0</v>
      </c>
      <c r="CH40" s="66">
        <f t="shared" si="126"/>
        <v>0</v>
      </c>
      <c r="CI40" s="67"/>
      <c r="CJ40" s="67"/>
      <c r="CK40" s="67"/>
      <c r="CL40" s="67"/>
      <c r="CM40" s="67"/>
      <c r="CN40" s="67"/>
      <c r="CO40" s="67"/>
      <c r="CP40" s="67"/>
    </row>
    <row r="41" spans="1:94" ht="27" customHeight="1" x14ac:dyDescent="0.2">
      <c r="A41" s="8">
        <v>37</v>
      </c>
      <c r="B41" s="8">
        <v>543</v>
      </c>
      <c r="C41" s="43" t="s">
        <v>139</v>
      </c>
      <c r="D41" s="44" t="str">
        <f t="shared" si="102"/>
        <v>Ramirez</v>
      </c>
      <c r="E41" s="44" t="str">
        <f t="shared" si="103"/>
        <v xml:space="preserve">Aguilera </v>
      </c>
      <c r="F41" s="44" t="str">
        <f t="shared" si="104"/>
        <v>Ricardo</v>
      </c>
      <c r="G41" s="8">
        <v>4</v>
      </c>
      <c r="H41" s="8" t="s">
        <v>138</v>
      </c>
      <c r="I41" s="45" t="s">
        <v>34</v>
      </c>
      <c r="J41" s="45" t="s">
        <v>118</v>
      </c>
      <c r="K41" s="46" t="s">
        <v>6</v>
      </c>
      <c r="L41" s="46" t="s">
        <v>5</v>
      </c>
      <c r="M41" s="46" t="s">
        <v>11</v>
      </c>
      <c r="N41" s="47" t="str">
        <f>IF(H41&gt;0,MID(H41,9,2)&amp;"/"&amp;MID(H41,7,2)&amp;"/"&amp;MID(H41,5,2),0)</f>
        <v>03/04/65</v>
      </c>
      <c r="O41" s="48">
        <f t="shared" ca="1" si="105"/>
        <v>52</v>
      </c>
      <c r="P41" s="1">
        <v>41484</v>
      </c>
      <c r="Q41" s="2" t="str">
        <f t="shared" si="106"/>
        <v>5 años, 5 meses, 2 dias.</v>
      </c>
      <c r="R41" s="2">
        <f t="shared" si="107"/>
        <v>5</v>
      </c>
      <c r="S41" s="2">
        <f t="shared" si="108"/>
        <v>65</v>
      </c>
      <c r="T41" s="2">
        <f t="shared" si="109"/>
        <v>1981</v>
      </c>
      <c r="U41" s="46" t="s">
        <v>90</v>
      </c>
      <c r="V41" s="46">
        <v>24</v>
      </c>
      <c r="W41" s="46" t="s">
        <v>16</v>
      </c>
      <c r="X41" s="46">
        <v>40</v>
      </c>
      <c r="Y41" s="46" t="s">
        <v>15</v>
      </c>
      <c r="Z41" s="46" t="s">
        <v>1</v>
      </c>
      <c r="AA41" s="49">
        <f>IF(C41="Plaza sin presupuesto",0,IF(W41="si",IF(X41=30,VLOOKUP(V41,'[1]Tablas despensa y pasaje 2018'!$A$3:$I$38,2,0),IF(PLANTILLA!X41=40,VLOOKUP(PLANTILLA!V41,'[1]Tablas despensa y pasaje 2018'!$A$3:$I$38,6,0))),IF(X41=30,VLOOKUP(V41,'[1]Tablas despensa y pasaje 2018'!$A$41:$I$48,2,0),IF(X41=40,VLOOKUP(V41,'[1]Tablas despensa y pasaje 2018'!$A$41:$I$48,6,0),0))))</f>
        <v>42280</v>
      </c>
      <c r="AB41" s="49">
        <f>IF(C41="Plaza sin presupuesto",0,IF(W41="si",IF(X41=30,VLOOKUP(V41,'[1]Tablas despensa y pasaje 2018'!$A$3:$I$38,3,0),IF(PLANTILLA!X41=40,VLOOKUP(PLANTILLA!V41,'[1]Tablas despensa y pasaje 2018'!$A$3:$I$38,7,0))),IF(X41=30,VLOOKUP(V41,'[1]Tablas despensa y pasaje 2018'!$A$41:$I$48,3,0),IF(X41=40,VLOOKUP(V41,'[1]Tablas despensa y pasaje 2018'!$A$41:$I$48,7,0),0))))</f>
        <v>1865</v>
      </c>
      <c r="AC41" s="49">
        <f>IF(C41="Plaza sin presupuesto",0,IF(W41="si",IF(X41=30,VLOOKUP(V41,'[1]Tablas despensa y pasaje 2018'!$A$3:$I$38,4,0),IF(PLANTILLA!X41=40,VLOOKUP(PLANTILLA!V41,'[1]Tablas despensa y pasaje 2018'!$A$3:$I$38,8,0))),IF(X41=30,VLOOKUP(V41,'[1]Tablas despensa y pasaje 2018'!$A$41:$I$48,4,0),IF(X41=40,VLOOKUP(V41,'[1]Tablas despensa y pasaje 2018'!$A$41:$I$48,8,0),0))))</f>
        <v>1345</v>
      </c>
      <c r="AD41" s="49">
        <f t="shared" si="110"/>
        <v>0</v>
      </c>
      <c r="AE41" s="49">
        <f t="shared" si="111"/>
        <v>176.72</v>
      </c>
      <c r="AF41" s="49">
        <f t="shared" si="127"/>
        <v>21140</v>
      </c>
      <c r="AG41" s="49">
        <f t="shared" si="112"/>
        <v>70466.666666666657</v>
      </c>
      <c r="AH41" s="49">
        <f t="shared" si="113"/>
        <v>7046.6666666666661</v>
      </c>
      <c r="AI41" s="49">
        <f t="shared" si="64"/>
        <v>7398.9999999999991</v>
      </c>
      <c r="AJ41" s="49">
        <f t="shared" si="65"/>
        <v>1268.3999999999999</v>
      </c>
      <c r="AK41" s="49">
        <f t="shared" si="66"/>
        <v>845.6</v>
      </c>
      <c r="AL41" s="49">
        <f t="shared" si="67"/>
        <v>2029.44</v>
      </c>
      <c r="AM41" s="50">
        <f>IF((SUM(AA41:AE41)/2)=0,0,(((((SUM(AA41:AE41)/2)-(VLOOKUP((SUM(AA41:AE41)/2),'[1]Tablas ISR'!$A$4:$D$14,1,TRUE)))*(VLOOKUP((SUM(AA41:AE41)/2),'[1]Tablas ISR'!$A$4:$D$14,4,TRUE)))/100)+(VLOOKUP((SUM(AA41:AE41)/2),'[1]Tablas ISR'!$A$4:$D$14,3,TRUE)))*2)</f>
        <v>9465.9600000000009</v>
      </c>
      <c r="AN41" s="51">
        <f t="shared" si="68"/>
        <v>4862.2</v>
      </c>
      <c r="AO41" s="49">
        <f t="shared" si="69"/>
        <v>21140</v>
      </c>
      <c r="AP41" s="49">
        <f t="shared" si="70"/>
        <v>932.5</v>
      </c>
      <c r="AQ41" s="49">
        <f t="shared" si="71"/>
        <v>672.5</v>
      </c>
      <c r="AR41" s="49">
        <f t="shared" si="72"/>
        <v>0</v>
      </c>
      <c r="AS41" s="49">
        <f t="shared" si="73"/>
        <v>88.36</v>
      </c>
      <c r="AT41" s="49">
        <f t="shared" si="74"/>
        <v>3699.4999999999995</v>
      </c>
      <c r="AU41" s="49">
        <f t="shared" si="75"/>
        <v>634.19999999999993</v>
      </c>
      <c r="AV41" s="49">
        <f t="shared" si="76"/>
        <v>1014.72</v>
      </c>
      <c r="AW41" s="52">
        <f t="shared" si="77"/>
        <v>15669.28</v>
      </c>
      <c r="AX41" s="3">
        <f t="shared" si="78"/>
        <v>1409.3333333333333</v>
      </c>
      <c r="AY41" s="3">
        <f t="shared" si="79"/>
        <v>62.166666666666664</v>
      </c>
      <c r="AZ41" s="3">
        <f t="shared" si="80"/>
        <v>44.833333333333336</v>
      </c>
      <c r="BA41" s="3">
        <f t="shared" si="81"/>
        <v>0</v>
      </c>
      <c r="BB41" s="3">
        <f t="shared" si="82"/>
        <v>5.8906666666666663</v>
      </c>
      <c r="BC41" s="3">
        <f t="shared" si="83"/>
        <v>57.917808219178085</v>
      </c>
      <c r="BD41" s="3">
        <f t="shared" si="84"/>
        <v>193.05936073059357</v>
      </c>
      <c r="BE41" s="3">
        <f t="shared" si="85"/>
        <v>19.30593607305936</v>
      </c>
      <c r="BF41" s="3">
        <f t="shared" si="86"/>
        <v>246.6333333333333</v>
      </c>
      <c r="BG41" s="3">
        <f t="shared" si="87"/>
        <v>42.279999999999994</v>
      </c>
      <c r="BH41" s="3">
        <f t="shared" si="88"/>
        <v>28.186666666666667</v>
      </c>
      <c r="BI41" s="3">
        <f t="shared" si="89"/>
        <v>67.647999999999996</v>
      </c>
      <c r="BJ41" s="3">
        <f t="shared" si="90"/>
        <v>42280</v>
      </c>
      <c r="BK41" s="3">
        <f t="shared" si="91"/>
        <v>1865</v>
      </c>
      <c r="BL41" s="3">
        <f t="shared" si="92"/>
        <v>1345</v>
      </c>
      <c r="BM41" s="3">
        <f t="shared" si="93"/>
        <v>0</v>
      </c>
      <c r="BN41" s="3">
        <f t="shared" si="94"/>
        <v>176.72</v>
      </c>
      <c r="BO41" s="3">
        <f t="shared" si="95"/>
        <v>1761.6666666666667</v>
      </c>
      <c r="BP41" s="3">
        <f t="shared" si="96"/>
        <v>5872.2222222222217</v>
      </c>
      <c r="BQ41" s="3">
        <f t="shared" si="97"/>
        <v>587.22222222222217</v>
      </c>
      <c r="BR41" s="3">
        <f t="shared" si="98"/>
        <v>7398.9999999999991</v>
      </c>
      <c r="BS41" s="3">
        <f t="shared" si="99"/>
        <v>1268.3999999999999</v>
      </c>
      <c r="BT41" s="3">
        <f t="shared" si="100"/>
        <v>845.6</v>
      </c>
      <c r="BU41" s="3">
        <f t="shared" si="101"/>
        <v>2029.4399999999998</v>
      </c>
      <c r="BV41" s="53">
        <f t="shared" si="114"/>
        <v>507360</v>
      </c>
      <c r="BW41" s="53">
        <f t="shared" si="115"/>
        <v>22380</v>
      </c>
      <c r="BX41" s="53">
        <f t="shared" si="116"/>
        <v>16140</v>
      </c>
      <c r="BY41" s="53">
        <f t="shared" si="117"/>
        <v>0</v>
      </c>
      <c r="BZ41" s="53">
        <f t="shared" si="118"/>
        <v>2120.64</v>
      </c>
      <c r="CA41" s="53">
        <f t="shared" si="119"/>
        <v>21140</v>
      </c>
      <c r="CB41" s="53">
        <f t="shared" si="120"/>
        <v>70466.666666666657</v>
      </c>
      <c r="CC41" s="53">
        <f t="shared" si="121"/>
        <v>7046.6666666666661</v>
      </c>
      <c r="CD41" s="53">
        <f t="shared" si="122"/>
        <v>88787.999999999985</v>
      </c>
      <c r="CE41" s="53">
        <f t="shared" si="123"/>
        <v>15220.8</v>
      </c>
      <c r="CF41" s="53">
        <f t="shared" si="124"/>
        <v>10147.200000000001</v>
      </c>
      <c r="CG41" s="53">
        <f t="shared" si="125"/>
        <v>24353.279999999999</v>
      </c>
      <c r="CH41" s="54">
        <f t="shared" si="126"/>
        <v>785163.2533333333</v>
      </c>
      <c r="CI41" s="46"/>
      <c r="CJ41" s="46"/>
      <c r="CK41" s="46"/>
      <c r="CL41" s="46"/>
      <c r="CM41" s="46"/>
      <c r="CN41" s="46"/>
      <c r="CO41" s="46"/>
      <c r="CP41" s="46"/>
    </row>
    <row r="42" spans="1:94" ht="27" customHeight="1" x14ac:dyDescent="0.2">
      <c r="A42" s="8">
        <v>38</v>
      </c>
      <c r="B42" s="8">
        <v>544</v>
      </c>
      <c r="C42" s="43" t="s">
        <v>137</v>
      </c>
      <c r="D42" s="44" t="str">
        <f t="shared" si="102"/>
        <v>Lopez</v>
      </c>
      <c r="E42" s="44" t="str">
        <f t="shared" si="103"/>
        <v xml:space="preserve">Arciniega </v>
      </c>
      <c r="F42" s="44" t="str">
        <f t="shared" si="104"/>
        <v>Sergio</v>
      </c>
      <c r="G42" s="8">
        <v>1</v>
      </c>
      <c r="H42" s="8" t="s">
        <v>136</v>
      </c>
      <c r="I42" s="45" t="s">
        <v>135</v>
      </c>
      <c r="J42" s="45" t="s">
        <v>118</v>
      </c>
      <c r="K42" s="46" t="s">
        <v>6</v>
      </c>
      <c r="L42" s="46" t="s">
        <v>5</v>
      </c>
      <c r="M42" s="46" t="s">
        <v>11</v>
      </c>
      <c r="N42" s="47" t="str">
        <f>IF(H42&gt;0,MID(H42,9,2)&amp;"/"&amp;MID(H42,7,2)&amp;"/"&amp;MID(H42,5,2),0)</f>
        <v>25/09/77</v>
      </c>
      <c r="O42" s="48">
        <f t="shared" ca="1" si="105"/>
        <v>40</v>
      </c>
      <c r="P42" s="1">
        <v>41410</v>
      </c>
      <c r="Q42" s="2" t="str">
        <f t="shared" si="106"/>
        <v>5 años, 7 meses, 15 dias.</v>
      </c>
      <c r="R42" s="2">
        <f t="shared" si="107"/>
        <v>5</v>
      </c>
      <c r="S42" s="2">
        <f t="shared" si="108"/>
        <v>67</v>
      </c>
      <c r="T42" s="2">
        <f t="shared" si="109"/>
        <v>2055</v>
      </c>
      <c r="U42" s="46" t="s">
        <v>90</v>
      </c>
      <c r="V42" s="46">
        <v>19</v>
      </c>
      <c r="W42" s="46" t="s">
        <v>16</v>
      </c>
      <c r="X42" s="46">
        <v>40</v>
      </c>
      <c r="Y42" s="46" t="s">
        <v>15</v>
      </c>
      <c r="Z42" s="46" t="s">
        <v>1</v>
      </c>
      <c r="AA42" s="49">
        <f>IF(C42="Plaza sin presupuesto",0,IF(W42="si",IF(X42=30,VLOOKUP(V42,'[1]Tablas despensa y pasaje 2018'!$A$3:$I$38,2,0),IF(PLANTILLA!X42=40,VLOOKUP(PLANTILLA!V42,'[1]Tablas despensa y pasaje 2018'!$A$3:$I$38,6,0))),IF(X42=30,VLOOKUP(V42,'[1]Tablas despensa y pasaje 2018'!$A$41:$I$48,2,0),IF(X42=40,VLOOKUP(V42,'[1]Tablas despensa y pasaje 2018'!$A$41:$I$48,6,0),0))))</f>
        <v>24533</v>
      </c>
      <c r="AB42" s="49">
        <f>IF(C42="Plaza sin presupuesto",0,IF(W42="si",IF(X42=30,VLOOKUP(V42,'[1]Tablas despensa y pasaje 2018'!$A$3:$I$38,3,0),IF(PLANTILLA!X42=40,VLOOKUP(PLANTILLA!V42,'[1]Tablas despensa y pasaje 2018'!$A$3:$I$38,7,0))),IF(X42=30,VLOOKUP(V42,'[1]Tablas despensa y pasaje 2018'!$A$41:$I$48,3,0),IF(X42=40,VLOOKUP(V42,'[1]Tablas despensa y pasaje 2018'!$A$41:$I$48,7,0),0))))</f>
        <v>1549</v>
      </c>
      <c r="AC42" s="49">
        <f>IF(C42="Plaza sin presupuesto",0,IF(W42="si",IF(X42=30,VLOOKUP(V42,'[1]Tablas despensa y pasaje 2018'!$A$3:$I$38,4,0),IF(PLANTILLA!X42=40,VLOOKUP(PLANTILLA!V42,'[1]Tablas despensa y pasaje 2018'!$A$3:$I$38,8,0))),IF(X42=30,VLOOKUP(V42,'[1]Tablas despensa y pasaje 2018'!$A$41:$I$48,4,0),IF(X42=40,VLOOKUP(V42,'[1]Tablas despensa y pasaje 2018'!$A$41:$I$48,8,0),0))))</f>
        <v>1016</v>
      </c>
      <c r="AD42" s="49">
        <f t="shared" si="110"/>
        <v>0</v>
      </c>
      <c r="AE42" s="49">
        <f t="shared" si="111"/>
        <v>176.72</v>
      </c>
      <c r="AF42" s="49">
        <f t="shared" si="127"/>
        <v>12266.5</v>
      </c>
      <c r="AG42" s="49">
        <f t="shared" si="112"/>
        <v>40888.333333333336</v>
      </c>
      <c r="AH42" s="49">
        <f t="shared" si="113"/>
        <v>4088.833333333333</v>
      </c>
      <c r="AI42" s="49">
        <f t="shared" si="64"/>
        <v>4293.2749999999996</v>
      </c>
      <c r="AJ42" s="49">
        <f t="shared" si="65"/>
        <v>735.99</v>
      </c>
      <c r="AK42" s="49">
        <f t="shared" si="66"/>
        <v>490.66</v>
      </c>
      <c r="AL42" s="49">
        <f t="shared" si="67"/>
        <v>1177.5840000000001</v>
      </c>
      <c r="AM42" s="50">
        <f>IF((SUM(AA42:AE42)/2)=0,0,(((((SUM(AA42:AE42)/2)-(VLOOKUP((SUM(AA42:AE42)/2),'[1]Tablas ISR'!$A$4:$D$14,1,TRUE)))*(VLOOKUP((SUM(AA42:AE42)/2),'[1]Tablas ISR'!$A$4:$D$14,4,TRUE)))/100)+(VLOOKUP((SUM(AA42:AE42)/2),'[1]Tablas ISR'!$A$4:$D$14,3,TRUE)))*2)</f>
        <v>4622.3591999999999</v>
      </c>
      <c r="AN42" s="51">
        <f t="shared" si="68"/>
        <v>2821.2950000000001</v>
      </c>
      <c r="AO42" s="49">
        <f t="shared" si="69"/>
        <v>12266.5</v>
      </c>
      <c r="AP42" s="49">
        <f t="shared" si="70"/>
        <v>774.5</v>
      </c>
      <c r="AQ42" s="49">
        <f t="shared" si="71"/>
        <v>508</v>
      </c>
      <c r="AR42" s="49">
        <f t="shared" si="72"/>
        <v>0</v>
      </c>
      <c r="AS42" s="49">
        <f t="shared" si="73"/>
        <v>88.36</v>
      </c>
      <c r="AT42" s="49">
        <f t="shared" si="74"/>
        <v>2146.6374999999998</v>
      </c>
      <c r="AU42" s="49">
        <f t="shared" si="75"/>
        <v>367.995</v>
      </c>
      <c r="AV42" s="49">
        <f t="shared" si="76"/>
        <v>588.79200000000003</v>
      </c>
      <c r="AW42" s="52">
        <f t="shared" si="77"/>
        <v>9915.532900000002</v>
      </c>
      <c r="AX42" s="3">
        <f t="shared" si="78"/>
        <v>817.76666666666665</v>
      </c>
      <c r="AY42" s="3">
        <f t="shared" si="79"/>
        <v>51.633333333333333</v>
      </c>
      <c r="AZ42" s="3">
        <f t="shared" si="80"/>
        <v>33.866666666666667</v>
      </c>
      <c r="BA42" s="3">
        <f t="shared" si="81"/>
        <v>0</v>
      </c>
      <c r="BB42" s="3">
        <f t="shared" si="82"/>
        <v>5.8906666666666663</v>
      </c>
      <c r="BC42" s="3">
        <f t="shared" si="83"/>
        <v>33.606849315068494</v>
      </c>
      <c r="BD42" s="3">
        <f t="shared" si="84"/>
        <v>112.02283105022832</v>
      </c>
      <c r="BE42" s="3">
        <f t="shared" si="85"/>
        <v>11.202283105022831</v>
      </c>
      <c r="BF42" s="3">
        <f t="shared" si="86"/>
        <v>143.10916666666665</v>
      </c>
      <c r="BG42" s="3">
        <f t="shared" si="87"/>
        <v>24.533000000000001</v>
      </c>
      <c r="BH42" s="3">
        <f t="shared" si="88"/>
        <v>16.355333333333334</v>
      </c>
      <c r="BI42" s="3">
        <f t="shared" si="89"/>
        <v>39.252800000000001</v>
      </c>
      <c r="BJ42" s="3">
        <f t="shared" si="90"/>
        <v>24533</v>
      </c>
      <c r="BK42" s="3">
        <f t="shared" si="91"/>
        <v>1549</v>
      </c>
      <c r="BL42" s="3">
        <f t="shared" si="92"/>
        <v>1016</v>
      </c>
      <c r="BM42" s="3">
        <f t="shared" si="93"/>
        <v>0</v>
      </c>
      <c r="BN42" s="3">
        <f t="shared" si="94"/>
        <v>176.72</v>
      </c>
      <c r="BO42" s="3">
        <f t="shared" si="95"/>
        <v>1022.2083333333334</v>
      </c>
      <c r="BP42" s="3">
        <f t="shared" si="96"/>
        <v>3407.3611111111113</v>
      </c>
      <c r="BQ42" s="3">
        <f t="shared" si="97"/>
        <v>340.73611111111109</v>
      </c>
      <c r="BR42" s="3">
        <f t="shared" si="98"/>
        <v>4293.2749999999996</v>
      </c>
      <c r="BS42" s="3">
        <f t="shared" si="99"/>
        <v>735.99</v>
      </c>
      <c r="BT42" s="3">
        <f t="shared" si="100"/>
        <v>490.66</v>
      </c>
      <c r="BU42" s="3">
        <f t="shared" si="101"/>
        <v>1177.5840000000001</v>
      </c>
      <c r="BV42" s="53">
        <f t="shared" si="114"/>
        <v>294396</v>
      </c>
      <c r="BW42" s="53">
        <f t="shared" si="115"/>
        <v>18588</v>
      </c>
      <c r="BX42" s="53">
        <f t="shared" si="116"/>
        <v>12192</v>
      </c>
      <c r="BY42" s="53">
        <f t="shared" si="117"/>
        <v>0</v>
      </c>
      <c r="BZ42" s="53">
        <f t="shared" si="118"/>
        <v>2120.64</v>
      </c>
      <c r="CA42" s="53">
        <f t="shared" si="119"/>
        <v>12266.5</v>
      </c>
      <c r="CB42" s="53">
        <f t="shared" si="120"/>
        <v>40888.333333333336</v>
      </c>
      <c r="CC42" s="53">
        <f t="shared" si="121"/>
        <v>4088.833333333333</v>
      </c>
      <c r="CD42" s="53">
        <f t="shared" si="122"/>
        <v>51519.299999999996</v>
      </c>
      <c r="CE42" s="53">
        <f t="shared" si="123"/>
        <v>8831.880000000001</v>
      </c>
      <c r="CF42" s="53">
        <f t="shared" si="124"/>
        <v>5887.92</v>
      </c>
      <c r="CG42" s="53">
        <f t="shared" si="125"/>
        <v>14131.008000000002</v>
      </c>
      <c r="CH42" s="54">
        <f t="shared" si="126"/>
        <v>464910.41466666665</v>
      </c>
      <c r="CI42" s="46"/>
      <c r="CJ42" s="46"/>
      <c r="CK42" s="46"/>
      <c r="CL42" s="46"/>
      <c r="CM42" s="46"/>
      <c r="CN42" s="46"/>
      <c r="CO42" s="46"/>
      <c r="CP42" s="46"/>
    </row>
    <row r="43" spans="1:94" ht="27" customHeight="1" x14ac:dyDescent="0.2">
      <c r="A43" s="8">
        <v>39</v>
      </c>
      <c r="B43" s="8">
        <v>545</v>
      </c>
      <c r="C43" s="43" t="s">
        <v>134</v>
      </c>
      <c r="D43" s="44" t="str">
        <f t="shared" si="102"/>
        <v>Castellanos</v>
      </c>
      <c r="E43" s="44" t="str">
        <f t="shared" si="103"/>
        <v xml:space="preserve">Moya </v>
      </c>
      <c r="F43" s="44" t="str">
        <f t="shared" si="104"/>
        <v>Luis Daniel</v>
      </c>
      <c r="G43" s="8">
        <v>4</v>
      </c>
      <c r="H43" s="8" t="s">
        <v>133</v>
      </c>
      <c r="I43" s="45" t="s">
        <v>132</v>
      </c>
      <c r="J43" s="45" t="s">
        <v>118</v>
      </c>
      <c r="K43" s="46" t="s">
        <v>12</v>
      </c>
      <c r="L43" s="46" t="s">
        <v>5</v>
      </c>
      <c r="M43" s="46" t="s">
        <v>22</v>
      </c>
      <c r="N43" s="47" t="str">
        <f>IF(H43&gt;0,MID(H43,9,2)&amp;"/"&amp;MID(H43,7,2)&amp;"/"&amp;MID(H43,5,2),0)</f>
        <v>10/10/78</v>
      </c>
      <c r="O43" s="48">
        <f t="shared" ca="1" si="105"/>
        <v>39</v>
      </c>
      <c r="P43" s="1">
        <v>37895</v>
      </c>
      <c r="Q43" s="2" t="str">
        <f t="shared" si="106"/>
        <v>15 años, 2 meses, 30 dias.</v>
      </c>
      <c r="R43" s="2">
        <f t="shared" si="107"/>
        <v>15</v>
      </c>
      <c r="S43" s="2">
        <f t="shared" si="108"/>
        <v>182</v>
      </c>
      <c r="T43" s="2">
        <f t="shared" si="109"/>
        <v>5570</v>
      </c>
      <c r="U43" s="46" t="s">
        <v>90</v>
      </c>
      <c r="V43" s="46">
        <v>14</v>
      </c>
      <c r="W43" s="46" t="s">
        <v>1</v>
      </c>
      <c r="X43" s="46">
        <v>40</v>
      </c>
      <c r="Y43" s="46" t="s">
        <v>2</v>
      </c>
      <c r="Z43" s="46" t="s">
        <v>16</v>
      </c>
      <c r="AA43" s="49">
        <f>IF(C43="Plaza sin presupuesto",0,IF(W43="si",IF(X43=30,VLOOKUP(V43,'[1]Tablas despensa y pasaje 2018'!$A$3:$I$38,2,0),IF(PLANTILLA!X43=40,VLOOKUP(PLANTILLA!V43,'[1]Tablas despensa y pasaje 2018'!$A$3:$I$38,6,0))),IF(X43=30,VLOOKUP(V43,'[1]Tablas despensa y pasaje 2018'!$A$41:$I$48,2,0),IF(X43=40,VLOOKUP(V43,'[1]Tablas despensa y pasaje 2018'!$A$41:$I$48,6,0),0))))</f>
        <v>15426.3</v>
      </c>
      <c r="AB43" s="49">
        <f>IF(C43="Plaza sin presupuesto",0,IF(W43="si",IF(X43=30,VLOOKUP(V43,'[1]Tablas despensa y pasaje 2018'!$A$3:$I$38,3,0),IF(PLANTILLA!X43=40,VLOOKUP(PLANTILLA!V43,'[1]Tablas despensa y pasaje 2018'!$A$3:$I$38,7,0))),IF(X43=30,VLOOKUP(V43,'[1]Tablas despensa y pasaje 2018'!$A$41:$I$48,3,0),IF(X43=40,VLOOKUP(V43,'[1]Tablas despensa y pasaje 2018'!$A$41:$I$48,7,0),0))))</f>
        <v>836.88</v>
      </c>
      <c r="AC43" s="49">
        <f>IF(C43="Plaza sin presupuesto",0,IF(W43="si",IF(X43=30,VLOOKUP(V43,'[1]Tablas despensa y pasaje 2018'!$A$3:$I$38,4,0),IF(PLANTILLA!X43=40,VLOOKUP(PLANTILLA!V43,'[1]Tablas despensa y pasaje 2018'!$A$3:$I$38,8,0))),IF(X43=30,VLOOKUP(V43,'[1]Tablas despensa y pasaje 2018'!$A$41:$I$48,4,0),IF(X43=40,VLOOKUP(V43,'[1]Tablas despensa y pasaje 2018'!$A$41:$I$48,8,0),0))))</f>
        <v>564.17999999999995</v>
      </c>
      <c r="AD43" s="49">
        <f t="shared" si="110"/>
        <v>462.78899999999999</v>
      </c>
      <c r="AE43" s="49">
        <f t="shared" si="111"/>
        <v>353.44</v>
      </c>
      <c r="AF43" s="49">
        <f t="shared" si="127"/>
        <v>8821.7944999999982</v>
      </c>
      <c r="AG43" s="49">
        <f t="shared" si="112"/>
        <v>25710.499999999996</v>
      </c>
      <c r="AH43" s="49">
        <f t="shared" si="113"/>
        <v>2571.0499999999997</v>
      </c>
      <c r="AI43" s="49">
        <f t="shared" si="64"/>
        <v>2699.6024999999995</v>
      </c>
      <c r="AJ43" s="49">
        <f t="shared" si="65"/>
        <v>462.78899999999999</v>
      </c>
      <c r="AK43" s="49">
        <f t="shared" si="66"/>
        <v>308.52600000000001</v>
      </c>
      <c r="AL43" s="49">
        <f t="shared" si="67"/>
        <v>740.4624</v>
      </c>
      <c r="AM43" s="50">
        <f>IF((SUM(AA43:AE43)/2)=0,0,(((((SUM(AA43:AE43)/2)-(VLOOKUP((SUM(AA43:AE43)/2),'[1]Tablas ISR'!$A$4:$D$14,1,TRUE)))*(VLOOKUP((SUM(AA43:AE43)/2),'[1]Tablas ISR'!$A$4:$D$14,4,TRUE)))/100)+(VLOOKUP((SUM(AA43:AE43)/2),'[1]Tablas ISR'!$A$4:$D$14,3,TRUE)))*2)</f>
        <v>2492.3218583999992</v>
      </c>
      <c r="AN43" s="51">
        <f t="shared" si="68"/>
        <v>1774.0245</v>
      </c>
      <c r="AO43" s="49">
        <f t="shared" si="69"/>
        <v>7713.15</v>
      </c>
      <c r="AP43" s="49">
        <f t="shared" si="70"/>
        <v>418.44</v>
      </c>
      <c r="AQ43" s="49">
        <f t="shared" si="71"/>
        <v>282.08999999999997</v>
      </c>
      <c r="AR43" s="49">
        <f t="shared" si="72"/>
        <v>231.39449999999999</v>
      </c>
      <c r="AS43" s="49">
        <f t="shared" si="73"/>
        <v>176.72</v>
      </c>
      <c r="AT43" s="49">
        <f t="shared" si="74"/>
        <v>1349.8012499999998</v>
      </c>
      <c r="AU43" s="49">
        <f t="shared" si="75"/>
        <v>231.39449999999999</v>
      </c>
      <c r="AV43" s="49">
        <f t="shared" si="76"/>
        <v>370.2312</v>
      </c>
      <c r="AW43" s="52">
        <f t="shared" si="77"/>
        <v>6688.621320799999</v>
      </c>
      <c r="AX43" s="3">
        <f t="shared" si="78"/>
        <v>514.20999999999992</v>
      </c>
      <c r="AY43" s="3">
        <f t="shared" si="79"/>
        <v>27.896000000000001</v>
      </c>
      <c r="AZ43" s="3">
        <f t="shared" si="80"/>
        <v>18.805999999999997</v>
      </c>
      <c r="BA43" s="3">
        <f t="shared" si="81"/>
        <v>15.426299999999999</v>
      </c>
      <c r="BB43" s="3">
        <f t="shared" si="82"/>
        <v>11.781333333333333</v>
      </c>
      <c r="BC43" s="3">
        <f t="shared" si="83"/>
        <v>24.169299999999996</v>
      </c>
      <c r="BD43" s="3">
        <f t="shared" si="84"/>
        <v>70.439726027397256</v>
      </c>
      <c r="BE43" s="3">
        <f t="shared" si="85"/>
        <v>7.0439726027397249</v>
      </c>
      <c r="BF43" s="3">
        <f t="shared" si="86"/>
        <v>89.986749999999986</v>
      </c>
      <c r="BG43" s="3">
        <f t="shared" si="87"/>
        <v>15.426299999999999</v>
      </c>
      <c r="BH43" s="3">
        <f t="shared" si="88"/>
        <v>10.2842</v>
      </c>
      <c r="BI43" s="3">
        <f t="shared" si="89"/>
        <v>24.682079999999999</v>
      </c>
      <c r="BJ43" s="3">
        <f t="shared" si="90"/>
        <v>15426.299999999997</v>
      </c>
      <c r="BK43" s="3">
        <f t="shared" si="91"/>
        <v>836.88</v>
      </c>
      <c r="BL43" s="3">
        <f t="shared" si="92"/>
        <v>564.17999999999995</v>
      </c>
      <c r="BM43" s="3">
        <f t="shared" si="93"/>
        <v>462.78899999999999</v>
      </c>
      <c r="BN43" s="3">
        <f t="shared" si="94"/>
        <v>353.44</v>
      </c>
      <c r="BO43" s="3">
        <f t="shared" si="95"/>
        <v>735.14954166666655</v>
      </c>
      <c r="BP43" s="3">
        <f t="shared" si="96"/>
        <v>2142.5416666666665</v>
      </c>
      <c r="BQ43" s="3">
        <f t="shared" si="97"/>
        <v>214.25416666666663</v>
      </c>
      <c r="BR43" s="3">
        <f t="shared" si="98"/>
        <v>2699.6024999999995</v>
      </c>
      <c r="BS43" s="3">
        <f t="shared" si="99"/>
        <v>462.78899999999999</v>
      </c>
      <c r="BT43" s="3">
        <f t="shared" si="100"/>
        <v>308.52600000000001</v>
      </c>
      <c r="BU43" s="3">
        <f t="shared" si="101"/>
        <v>740.4624</v>
      </c>
      <c r="BV43" s="53">
        <f t="shared" si="114"/>
        <v>185115.59999999998</v>
      </c>
      <c r="BW43" s="53">
        <f t="shared" si="115"/>
        <v>10042.56</v>
      </c>
      <c r="BX43" s="53">
        <f t="shared" si="116"/>
        <v>6770.16</v>
      </c>
      <c r="BY43" s="53">
        <f t="shared" si="117"/>
        <v>5553.4679999999998</v>
      </c>
      <c r="BZ43" s="53">
        <f t="shared" si="118"/>
        <v>4241.28</v>
      </c>
      <c r="CA43" s="53">
        <f t="shared" si="119"/>
        <v>8821.7944999999982</v>
      </c>
      <c r="CB43" s="53">
        <f t="shared" si="120"/>
        <v>25710.499999999996</v>
      </c>
      <c r="CC43" s="53">
        <f t="shared" si="121"/>
        <v>2571.0499999999997</v>
      </c>
      <c r="CD43" s="53">
        <f t="shared" si="122"/>
        <v>32395.229999999996</v>
      </c>
      <c r="CE43" s="53">
        <f t="shared" si="123"/>
        <v>5553.4679999999998</v>
      </c>
      <c r="CF43" s="53">
        <f t="shared" si="124"/>
        <v>3702.3119999999999</v>
      </c>
      <c r="CG43" s="53">
        <f t="shared" si="125"/>
        <v>8885.5488000000005</v>
      </c>
      <c r="CH43" s="54">
        <f t="shared" si="126"/>
        <v>299362.97129999992</v>
      </c>
      <c r="CI43" s="46"/>
      <c r="CJ43" s="46"/>
      <c r="CK43" s="46"/>
      <c r="CL43" s="46"/>
      <c r="CM43" s="46"/>
      <c r="CN43" s="46"/>
      <c r="CO43" s="46"/>
      <c r="CP43" s="46"/>
    </row>
    <row r="44" spans="1:94" ht="27" customHeight="1" x14ac:dyDescent="0.2">
      <c r="A44" s="8">
        <v>40</v>
      </c>
      <c r="B44" s="8">
        <v>546</v>
      </c>
      <c r="C44" s="43" t="s">
        <v>131</v>
      </c>
      <c r="D44" s="44" t="str">
        <f t="shared" si="102"/>
        <v>Alonso</v>
      </c>
      <c r="E44" s="44" t="str">
        <f t="shared" si="103"/>
        <v xml:space="preserve">Ramos </v>
      </c>
      <c r="F44" s="44" t="str">
        <f t="shared" si="104"/>
        <v>Jose Raul</v>
      </c>
      <c r="G44" s="8">
        <v>4</v>
      </c>
      <c r="H44" s="8" t="s">
        <v>130</v>
      </c>
      <c r="I44" s="45" t="s">
        <v>129</v>
      </c>
      <c r="J44" s="45" t="s">
        <v>118</v>
      </c>
      <c r="K44" s="46" t="s">
        <v>6</v>
      </c>
      <c r="L44" s="46" t="s">
        <v>5</v>
      </c>
      <c r="M44" s="46" t="s">
        <v>22</v>
      </c>
      <c r="N44" s="47" t="str">
        <f>IF(H44&gt;0,MID(H44,9,2)&amp;"/"&amp;MID(H44,7,2)&amp;"/"&amp;MID(H44,5,2),0)</f>
        <v>20/05/76</v>
      </c>
      <c r="O44" s="48">
        <f t="shared" ca="1" si="105"/>
        <v>41</v>
      </c>
      <c r="P44" s="1">
        <v>41687</v>
      </c>
      <c r="Q44" s="2" t="str">
        <f t="shared" si="106"/>
        <v>4 años, 10 meses, 14 dias.</v>
      </c>
      <c r="R44" s="2">
        <f t="shared" si="107"/>
        <v>4</v>
      </c>
      <c r="S44" s="2">
        <f t="shared" si="108"/>
        <v>58</v>
      </c>
      <c r="T44" s="2">
        <f t="shared" si="109"/>
        <v>1778</v>
      </c>
      <c r="U44" s="46" t="s">
        <v>90</v>
      </c>
      <c r="V44" s="46">
        <v>16</v>
      </c>
      <c r="W44" s="46" t="s">
        <v>16</v>
      </c>
      <c r="X44" s="46">
        <v>40</v>
      </c>
      <c r="Y44" s="46" t="s">
        <v>15</v>
      </c>
      <c r="Z44" s="46" t="s">
        <v>1</v>
      </c>
      <c r="AA44" s="49">
        <f>IF(C44="Plaza sin presupuesto",0,IF(W44="si",IF(X44=30,VLOOKUP(V44,'[1]Tablas despensa y pasaje 2018'!$A$3:$I$38,2,0),IF(PLANTILLA!X44=40,VLOOKUP(PLANTILLA!V44,'[1]Tablas despensa y pasaje 2018'!$A$3:$I$38,6,0))),IF(X44=30,VLOOKUP(V44,'[1]Tablas despensa y pasaje 2018'!$A$41:$I$48,2,0),IF(X44=40,VLOOKUP(V44,'[1]Tablas despensa y pasaje 2018'!$A$41:$I$48,6,0),0))))</f>
        <v>17213</v>
      </c>
      <c r="AB44" s="49">
        <f>IF(C44="Plaza sin presupuesto",0,IF(W44="si",IF(X44=30,VLOOKUP(V44,'[1]Tablas despensa y pasaje 2018'!$A$3:$I$38,3,0),IF(PLANTILLA!X44=40,VLOOKUP(PLANTILLA!V44,'[1]Tablas despensa y pasaje 2018'!$A$3:$I$38,7,0))),IF(X44=30,VLOOKUP(V44,'[1]Tablas despensa y pasaje 2018'!$A$41:$I$48,3,0),IF(X44=40,VLOOKUP(V44,'[1]Tablas despensa y pasaje 2018'!$A$41:$I$48,7,0),0))))</f>
        <v>1247</v>
      </c>
      <c r="AC44" s="49">
        <f>IF(C44="Plaza sin presupuesto",0,IF(W44="si",IF(X44=30,VLOOKUP(V44,'[1]Tablas despensa y pasaje 2018'!$A$3:$I$38,4,0),IF(PLANTILLA!X44=40,VLOOKUP(PLANTILLA!V44,'[1]Tablas despensa y pasaje 2018'!$A$3:$I$38,8,0))),IF(X44=30,VLOOKUP(V44,'[1]Tablas despensa y pasaje 2018'!$A$41:$I$48,4,0),IF(X44=40,VLOOKUP(V44,'[1]Tablas despensa y pasaje 2018'!$A$41:$I$48,8,0),0))))</f>
        <v>779</v>
      </c>
      <c r="AD44" s="49">
        <f t="shared" si="110"/>
        <v>0</v>
      </c>
      <c r="AE44" s="49">
        <f t="shared" si="111"/>
        <v>0</v>
      </c>
      <c r="AF44" s="49">
        <f t="shared" si="127"/>
        <v>8606.5</v>
      </c>
      <c r="AG44" s="49">
        <f t="shared" si="112"/>
        <v>28688.333333333332</v>
      </c>
      <c r="AH44" s="49">
        <f t="shared" si="113"/>
        <v>2868.833333333333</v>
      </c>
      <c r="AI44" s="49">
        <f t="shared" si="64"/>
        <v>3012.2749999999996</v>
      </c>
      <c r="AJ44" s="49">
        <f t="shared" si="65"/>
        <v>516.39</v>
      </c>
      <c r="AK44" s="49">
        <f t="shared" si="66"/>
        <v>344.26</v>
      </c>
      <c r="AL44" s="49">
        <f t="shared" si="67"/>
        <v>826.22400000000005</v>
      </c>
      <c r="AM44" s="50">
        <f>IF((SUM(AA44:AE44)/2)=0,0,(((((SUM(AA44:AE44)/2)-(VLOOKUP((SUM(AA44:AE44)/2),'[1]Tablas ISR'!$A$4:$D$14,1,TRUE)))*(VLOOKUP((SUM(AA44:AE44)/2),'[1]Tablas ISR'!$A$4:$D$14,4,TRUE)))/100)+(VLOOKUP((SUM(AA44:AE44)/2),'[1]Tablas ISR'!$A$4:$D$14,3,TRUE)))*2)</f>
        <v>2833.1016479999998</v>
      </c>
      <c r="AN44" s="51">
        <f t="shared" si="68"/>
        <v>1979.4950000000001</v>
      </c>
      <c r="AO44" s="49">
        <f t="shared" si="69"/>
        <v>8606.5</v>
      </c>
      <c r="AP44" s="49">
        <f t="shared" si="70"/>
        <v>623.5</v>
      </c>
      <c r="AQ44" s="49">
        <f t="shared" si="71"/>
        <v>389.5</v>
      </c>
      <c r="AR44" s="49">
        <f t="shared" si="72"/>
        <v>0</v>
      </c>
      <c r="AS44" s="49">
        <f t="shared" si="73"/>
        <v>0</v>
      </c>
      <c r="AT44" s="49">
        <f t="shared" si="74"/>
        <v>1506.1374999999998</v>
      </c>
      <c r="AU44" s="49">
        <f t="shared" si="75"/>
        <v>258.19499999999999</v>
      </c>
      <c r="AV44" s="49">
        <f t="shared" si="76"/>
        <v>413.11200000000002</v>
      </c>
      <c r="AW44" s="52">
        <f t="shared" si="77"/>
        <v>7213.2016759999997</v>
      </c>
      <c r="AX44" s="3">
        <f t="shared" si="78"/>
        <v>573.76666666666665</v>
      </c>
      <c r="AY44" s="3">
        <f t="shared" si="79"/>
        <v>41.56666666666667</v>
      </c>
      <c r="AZ44" s="3">
        <f t="shared" si="80"/>
        <v>25.966666666666665</v>
      </c>
      <c r="BA44" s="3">
        <f t="shared" si="81"/>
        <v>0</v>
      </c>
      <c r="BB44" s="3">
        <f t="shared" si="82"/>
        <v>0</v>
      </c>
      <c r="BC44" s="3">
        <f t="shared" si="83"/>
        <v>23.579452054794519</v>
      </c>
      <c r="BD44" s="3">
        <f t="shared" si="84"/>
        <v>78.598173515981728</v>
      </c>
      <c r="BE44" s="3">
        <f t="shared" si="85"/>
        <v>7.8598173515981724</v>
      </c>
      <c r="BF44" s="3">
        <f t="shared" si="86"/>
        <v>100.40916666666665</v>
      </c>
      <c r="BG44" s="3">
        <f t="shared" si="87"/>
        <v>17.213000000000001</v>
      </c>
      <c r="BH44" s="3">
        <f t="shared" si="88"/>
        <v>11.475333333333333</v>
      </c>
      <c r="BI44" s="3">
        <f t="shared" si="89"/>
        <v>27.540800000000001</v>
      </c>
      <c r="BJ44" s="3">
        <f t="shared" si="90"/>
        <v>17213</v>
      </c>
      <c r="BK44" s="3">
        <f t="shared" si="91"/>
        <v>1247</v>
      </c>
      <c r="BL44" s="3">
        <f t="shared" si="92"/>
        <v>779</v>
      </c>
      <c r="BM44" s="3">
        <f t="shared" si="93"/>
        <v>0</v>
      </c>
      <c r="BN44" s="3">
        <f t="shared" si="94"/>
        <v>0</v>
      </c>
      <c r="BO44" s="3">
        <f t="shared" si="95"/>
        <v>717.20833333333337</v>
      </c>
      <c r="BP44" s="3">
        <f t="shared" si="96"/>
        <v>2390.6944444444443</v>
      </c>
      <c r="BQ44" s="3">
        <f t="shared" si="97"/>
        <v>239.06944444444443</v>
      </c>
      <c r="BR44" s="3">
        <f t="shared" si="98"/>
        <v>3012.2749999999996</v>
      </c>
      <c r="BS44" s="3">
        <f t="shared" si="99"/>
        <v>516.39</v>
      </c>
      <c r="BT44" s="3">
        <f t="shared" si="100"/>
        <v>344.26</v>
      </c>
      <c r="BU44" s="3">
        <f t="shared" si="101"/>
        <v>826.22400000000005</v>
      </c>
      <c r="BV44" s="53">
        <f t="shared" si="114"/>
        <v>206556</v>
      </c>
      <c r="BW44" s="53">
        <f t="shared" si="115"/>
        <v>14964</v>
      </c>
      <c r="BX44" s="53">
        <f t="shared" si="116"/>
        <v>9348</v>
      </c>
      <c r="BY44" s="53">
        <f t="shared" si="117"/>
        <v>0</v>
      </c>
      <c r="BZ44" s="53">
        <f t="shared" si="118"/>
        <v>0</v>
      </c>
      <c r="CA44" s="53">
        <f t="shared" si="119"/>
        <v>8606.5</v>
      </c>
      <c r="CB44" s="53">
        <f t="shared" si="120"/>
        <v>28688.333333333332</v>
      </c>
      <c r="CC44" s="53">
        <f t="shared" si="121"/>
        <v>2868.833333333333</v>
      </c>
      <c r="CD44" s="53">
        <f t="shared" si="122"/>
        <v>36147.299999999996</v>
      </c>
      <c r="CE44" s="53">
        <f t="shared" si="123"/>
        <v>6196.68</v>
      </c>
      <c r="CF44" s="53">
        <f t="shared" si="124"/>
        <v>4131.12</v>
      </c>
      <c r="CG44" s="53">
        <f t="shared" si="125"/>
        <v>9914.6880000000001</v>
      </c>
      <c r="CH44" s="54">
        <f t="shared" si="126"/>
        <v>327421.45466666663</v>
      </c>
      <c r="CI44" s="46"/>
      <c r="CJ44" s="46"/>
      <c r="CK44" s="46"/>
      <c r="CL44" s="46"/>
      <c r="CM44" s="46"/>
      <c r="CN44" s="46"/>
      <c r="CO44" s="46"/>
      <c r="CP44" s="46"/>
    </row>
    <row r="45" spans="1:94" ht="27" customHeight="1" x14ac:dyDescent="0.2">
      <c r="A45" s="8">
        <v>41</v>
      </c>
      <c r="B45" s="8">
        <v>548</v>
      </c>
      <c r="C45" s="43" t="s">
        <v>128</v>
      </c>
      <c r="D45" s="44" t="str">
        <f t="shared" si="102"/>
        <v>Aguila</v>
      </c>
      <c r="E45" s="44" t="str">
        <f t="shared" si="103"/>
        <v xml:space="preserve">Espinoza </v>
      </c>
      <c r="F45" s="44" t="str">
        <f t="shared" si="104"/>
        <v>Javier</v>
      </c>
      <c r="G45" s="8">
        <v>4</v>
      </c>
      <c r="H45" s="8" t="s">
        <v>127</v>
      </c>
      <c r="I45" s="45" t="s">
        <v>126</v>
      </c>
      <c r="J45" s="45" t="s">
        <v>118</v>
      </c>
      <c r="K45" s="46" t="s">
        <v>6</v>
      </c>
      <c r="L45" s="46" t="s">
        <v>5</v>
      </c>
      <c r="M45" s="46" t="s">
        <v>22</v>
      </c>
      <c r="N45" s="47" t="str">
        <f>IF(H45&gt;0,MID(H45,9,2)&amp;"/"&amp;MID(H45,7,2)&amp;"/"&amp;MID(H45,5,2),0)</f>
        <v>02/10/85</v>
      </c>
      <c r="O45" s="48">
        <f t="shared" ca="1" si="105"/>
        <v>32</v>
      </c>
      <c r="P45" s="1">
        <v>41680</v>
      </c>
      <c r="Q45" s="2" t="str">
        <f t="shared" si="106"/>
        <v>4 años, 10 meses, 21 dias.</v>
      </c>
      <c r="R45" s="2">
        <f t="shared" si="107"/>
        <v>4</v>
      </c>
      <c r="S45" s="2">
        <f t="shared" si="108"/>
        <v>58</v>
      </c>
      <c r="T45" s="2">
        <f t="shared" si="109"/>
        <v>1785</v>
      </c>
      <c r="U45" s="46" t="s">
        <v>90</v>
      </c>
      <c r="V45" s="46">
        <v>15</v>
      </c>
      <c r="W45" s="46" t="s">
        <v>16</v>
      </c>
      <c r="X45" s="46">
        <v>40</v>
      </c>
      <c r="Y45" s="46" t="s">
        <v>15</v>
      </c>
      <c r="Z45" s="46" t="s">
        <v>1</v>
      </c>
      <c r="AA45" s="49">
        <f>IF(C45="Plaza sin presupuesto",0,IF(W45="si",IF(X45=30,VLOOKUP(V45,'[1]Tablas despensa y pasaje 2018'!$A$3:$I$38,2,0),IF(PLANTILLA!X45=40,VLOOKUP(PLANTILLA!V45,'[1]Tablas despensa y pasaje 2018'!$A$3:$I$38,6,0))),IF(X45=30,VLOOKUP(V45,'[1]Tablas despensa y pasaje 2018'!$A$41:$I$48,2,0),IF(X45=40,VLOOKUP(V45,'[1]Tablas despensa y pasaje 2018'!$A$41:$I$48,6,0),0))))</f>
        <v>15675</v>
      </c>
      <c r="AB45" s="49">
        <f>IF(C45="Plaza sin presupuesto",0,IF(W45="si",IF(X45=30,VLOOKUP(V45,'[1]Tablas despensa y pasaje 2018'!$A$3:$I$38,3,0),IF(PLANTILLA!X45=40,VLOOKUP(PLANTILLA!V45,'[1]Tablas despensa y pasaje 2018'!$A$3:$I$38,7,0))),IF(X45=30,VLOOKUP(V45,'[1]Tablas despensa y pasaje 2018'!$A$41:$I$48,3,0),IF(X45=40,VLOOKUP(V45,'[1]Tablas despensa y pasaje 2018'!$A$41:$I$48,7,0),0))))</f>
        <v>1206</v>
      </c>
      <c r="AC45" s="49">
        <f>IF(C45="Plaza sin presupuesto",0,IF(W45="si",IF(X45=30,VLOOKUP(V45,'[1]Tablas despensa y pasaje 2018'!$A$3:$I$38,4,0),IF(PLANTILLA!X45=40,VLOOKUP(PLANTILLA!V45,'[1]Tablas despensa y pasaje 2018'!$A$3:$I$38,8,0))),IF(X45=30,VLOOKUP(V45,'[1]Tablas despensa y pasaje 2018'!$A$41:$I$48,4,0),IF(X45=40,VLOOKUP(V45,'[1]Tablas despensa y pasaje 2018'!$A$41:$I$48,8,0),0))))</f>
        <v>755</v>
      </c>
      <c r="AD45" s="49">
        <f t="shared" si="110"/>
        <v>0</v>
      </c>
      <c r="AE45" s="49">
        <f t="shared" si="111"/>
        <v>0</v>
      </c>
      <c r="AF45" s="49">
        <f t="shared" si="127"/>
        <v>7837.5</v>
      </c>
      <c r="AG45" s="49">
        <f t="shared" si="112"/>
        <v>26125</v>
      </c>
      <c r="AH45" s="49">
        <f t="shared" si="113"/>
        <v>2612.5</v>
      </c>
      <c r="AI45" s="49">
        <f t="shared" si="64"/>
        <v>2743.125</v>
      </c>
      <c r="AJ45" s="49">
        <f t="shared" si="65"/>
        <v>470.25</v>
      </c>
      <c r="AK45" s="49">
        <f t="shared" si="66"/>
        <v>313.5</v>
      </c>
      <c r="AL45" s="49">
        <f t="shared" si="67"/>
        <v>752.4</v>
      </c>
      <c r="AM45" s="50">
        <f>IF((SUM(AA45:AE45)/2)=0,0,(((((SUM(AA45:AE45)/2)-(VLOOKUP((SUM(AA45:AE45)/2),'[1]Tablas ISR'!$A$4:$D$14,1,TRUE)))*(VLOOKUP((SUM(AA45:AE45)/2),'[1]Tablas ISR'!$A$4:$D$14,4,TRUE)))/100)+(VLOOKUP((SUM(AA45:AE45)/2),'[1]Tablas ISR'!$A$4:$D$14,3,TRUE)))*2)</f>
        <v>2490.700848</v>
      </c>
      <c r="AN45" s="51">
        <f t="shared" si="68"/>
        <v>1802.625</v>
      </c>
      <c r="AO45" s="49">
        <f t="shared" si="69"/>
        <v>7837.5</v>
      </c>
      <c r="AP45" s="49">
        <f t="shared" si="70"/>
        <v>603</v>
      </c>
      <c r="AQ45" s="49">
        <f t="shared" si="71"/>
        <v>377.5</v>
      </c>
      <c r="AR45" s="49">
        <f t="shared" si="72"/>
        <v>0</v>
      </c>
      <c r="AS45" s="49">
        <f t="shared" si="73"/>
        <v>0</v>
      </c>
      <c r="AT45" s="49">
        <f t="shared" si="74"/>
        <v>1371.5625</v>
      </c>
      <c r="AU45" s="49">
        <f t="shared" si="75"/>
        <v>235.125</v>
      </c>
      <c r="AV45" s="49">
        <f t="shared" si="76"/>
        <v>376.2</v>
      </c>
      <c r="AW45" s="52">
        <f t="shared" si="77"/>
        <v>6671.3370759999998</v>
      </c>
      <c r="AX45" s="3">
        <f t="shared" si="78"/>
        <v>522.5</v>
      </c>
      <c r="AY45" s="3">
        <f t="shared" si="79"/>
        <v>40.200000000000003</v>
      </c>
      <c r="AZ45" s="3">
        <f t="shared" si="80"/>
        <v>25.166666666666668</v>
      </c>
      <c r="BA45" s="3">
        <f t="shared" si="81"/>
        <v>0</v>
      </c>
      <c r="BB45" s="3">
        <f t="shared" si="82"/>
        <v>0</v>
      </c>
      <c r="BC45" s="3">
        <f t="shared" si="83"/>
        <v>21.472602739726028</v>
      </c>
      <c r="BD45" s="3">
        <f t="shared" si="84"/>
        <v>71.575342465753423</v>
      </c>
      <c r="BE45" s="3">
        <f t="shared" si="85"/>
        <v>7.1575342465753424</v>
      </c>
      <c r="BF45" s="3">
        <f t="shared" si="86"/>
        <v>91.4375</v>
      </c>
      <c r="BG45" s="3">
        <f t="shared" si="87"/>
        <v>15.675000000000001</v>
      </c>
      <c r="BH45" s="3">
        <f t="shared" si="88"/>
        <v>10.45</v>
      </c>
      <c r="BI45" s="3">
        <f t="shared" si="89"/>
        <v>25.08</v>
      </c>
      <c r="BJ45" s="3">
        <f t="shared" si="90"/>
        <v>15675</v>
      </c>
      <c r="BK45" s="3">
        <f t="shared" si="91"/>
        <v>1206</v>
      </c>
      <c r="BL45" s="3">
        <f t="shared" si="92"/>
        <v>755</v>
      </c>
      <c r="BM45" s="3">
        <f t="shared" si="93"/>
        <v>0</v>
      </c>
      <c r="BN45" s="3">
        <f t="shared" si="94"/>
        <v>0</v>
      </c>
      <c r="BO45" s="3">
        <f t="shared" si="95"/>
        <v>653.125</v>
      </c>
      <c r="BP45" s="3">
        <f t="shared" si="96"/>
        <v>2177.0833333333335</v>
      </c>
      <c r="BQ45" s="3">
        <f t="shared" si="97"/>
        <v>217.70833333333334</v>
      </c>
      <c r="BR45" s="3">
        <f t="shared" si="98"/>
        <v>2743.125</v>
      </c>
      <c r="BS45" s="3">
        <f t="shared" si="99"/>
        <v>470.25</v>
      </c>
      <c r="BT45" s="3">
        <f t="shared" si="100"/>
        <v>313.5</v>
      </c>
      <c r="BU45" s="3">
        <f t="shared" si="101"/>
        <v>752.4</v>
      </c>
      <c r="BV45" s="53">
        <f t="shared" si="114"/>
        <v>188100</v>
      </c>
      <c r="BW45" s="53">
        <f t="shared" si="115"/>
        <v>14472</v>
      </c>
      <c r="BX45" s="53">
        <f t="shared" si="116"/>
        <v>9060</v>
      </c>
      <c r="BY45" s="53">
        <f t="shared" si="117"/>
        <v>0</v>
      </c>
      <c r="BZ45" s="53">
        <f t="shared" si="118"/>
        <v>0</v>
      </c>
      <c r="CA45" s="53">
        <f t="shared" si="119"/>
        <v>7837.5</v>
      </c>
      <c r="CB45" s="53">
        <f t="shared" si="120"/>
        <v>26125</v>
      </c>
      <c r="CC45" s="53">
        <f t="shared" si="121"/>
        <v>2612.5</v>
      </c>
      <c r="CD45" s="53">
        <f t="shared" si="122"/>
        <v>32917.5</v>
      </c>
      <c r="CE45" s="53">
        <f t="shared" si="123"/>
        <v>5643</v>
      </c>
      <c r="CF45" s="53">
        <f t="shared" si="124"/>
        <v>3762</v>
      </c>
      <c r="CG45" s="53">
        <f t="shared" si="125"/>
        <v>9028.7999999999993</v>
      </c>
      <c r="CH45" s="54">
        <f t="shared" si="126"/>
        <v>299558.3</v>
      </c>
      <c r="CI45" s="46"/>
      <c r="CJ45" s="46"/>
      <c r="CK45" s="46"/>
      <c r="CL45" s="46"/>
      <c r="CM45" s="46"/>
      <c r="CN45" s="46"/>
      <c r="CO45" s="46"/>
      <c r="CP45" s="46"/>
    </row>
    <row r="46" spans="1:94" ht="27" customHeight="1" x14ac:dyDescent="0.2">
      <c r="A46" s="8">
        <v>42</v>
      </c>
      <c r="B46" s="8">
        <v>549</v>
      </c>
      <c r="C46" s="43" t="s">
        <v>125</v>
      </c>
      <c r="D46" s="44" t="str">
        <f t="shared" si="102"/>
        <v>Machuca</v>
      </c>
      <c r="E46" s="44" t="str">
        <f t="shared" si="103"/>
        <v xml:space="preserve">Barraza </v>
      </c>
      <c r="F46" s="44" t="str">
        <f t="shared" si="104"/>
        <v>Socorro Elena</v>
      </c>
      <c r="G46" s="8">
        <v>4</v>
      </c>
      <c r="H46" s="8" t="s">
        <v>124</v>
      </c>
      <c r="I46" s="45" t="s">
        <v>123</v>
      </c>
      <c r="J46" s="45" t="s">
        <v>118</v>
      </c>
      <c r="K46" s="46" t="s">
        <v>6</v>
      </c>
      <c r="L46" s="46" t="s">
        <v>17</v>
      </c>
      <c r="M46" s="46" t="s">
        <v>4</v>
      </c>
      <c r="N46" s="47" t="str">
        <f>IF(H46&gt;0,MID(H46,9,2)&amp;"/"&amp;MID(H46,7,2)&amp;"/"&amp;MID(H46,5,2),0)</f>
        <v>04/03/51</v>
      </c>
      <c r="O46" s="48">
        <f t="shared" ca="1" si="105"/>
        <v>66</v>
      </c>
      <c r="P46" s="1">
        <v>35886</v>
      </c>
      <c r="Q46" s="2" t="str">
        <f t="shared" si="106"/>
        <v>20 años, 8 meses, 30 dias.</v>
      </c>
      <c r="R46" s="2">
        <f t="shared" si="107"/>
        <v>20</v>
      </c>
      <c r="S46" s="2">
        <f t="shared" si="108"/>
        <v>248</v>
      </c>
      <c r="T46" s="2">
        <f t="shared" si="109"/>
        <v>7579</v>
      </c>
      <c r="U46" s="46" t="s">
        <v>90</v>
      </c>
      <c r="V46" s="46">
        <v>14</v>
      </c>
      <c r="W46" s="46" t="s">
        <v>16</v>
      </c>
      <c r="X46" s="46">
        <v>40</v>
      </c>
      <c r="Y46" s="46" t="s">
        <v>15</v>
      </c>
      <c r="Z46" s="46" t="s">
        <v>1</v>
      </c>
      <c r="AA46" s="49">
        <f>IF(C46="Plaza sin presupuesto",0,IF(W46="si",IF(X46=30,VLOOKUP(V46,'[1]Tablas despensa y pasaje 2018'!$A$3:$I$38,2,0),IF(PLANTILLA!X46=40,VLOOKUP(PLANTILLA!V46,'[1]Tablas despensa y pasaje 2018'!$A$3:$I$38,6,0))),IF(X46=30,VLOOKUP(V46,'[1]Tablas despensa y pasaje 2018'!$A$41:$I$48,2,0),IF(X46=40,VLOOKUP(V46,'[1]Tablas despensa y pasaje 2018'!$A$41:$I$48,6,0),0))))</f>
        <v>14217</v>
      </c>
      <c r="AB46" s="49">
        <f>IF(C46="Plaza sin presupuesto",0,IF(W46="si",IF(X46=30,VLOOKUP(V46,'[1]Tablas despensa y pasaje 2018'!$A$3:$I$38,3,0),IF(PLANTILLA!X46=40,VLOOKUP(PLANTILLA!V46,'[1]Tablas despensa y pasaje 2018'!$A$3:$I$38,7,0))),IF(X46=30,VLOOKUP(V46,'[1]Tablas despensa y pasaje 2018'!$A$41:$I$48,3,0),IF(X46=40,VLOOKUP(V46,'[1]Tablas despensa y pasaje 2018'!$A$41:$I$48,7,0),0))))</f>
        <v>1163</v>
      </c>
      <c r="AC46" s="49">
        <f>IF(C46="Plaza sin presupuesto",0,IF(W46="si",IF(X46=30,VLOOKUP(V46,'[1]Tablas despensa y pasaje 2018'!$A$3:$I$38,4,0),IF(PLANTILLA!X46=40,VLOOKUP(PLANTILLA!V46,'[1]Tablas despensa y pasaje 2018'!$A$3:$I$38,8,0))),IF(X46=30,VLOOKUP(V46,'[1]Tablas despensa y pasaje 2018'!$A$41:$I$48,4,0),IF(X46=40,VLOOKUP(V46,'[1]Tablas despensa y pasaje 2018'!$A$41:$I$48,8,0),0))))</f>
        <v>722</v>
      </c>
      <c r="AD46" s="49">
        <f t="shared" si="110"/>
        <v>0</v>
      </c>
      <c r="AE46" s="49">
        <f t="shared" si="111"/>
        <v>441.8</v>
      </c>
      <c r="AF46" s="49">
        <f t="shared" si="127"/>
        <v>7108.5</v>
      </c>
      <c r="AG46" s="49">
        <f t="shared" si="112"/>
        <v>23695</v>
      </c>
      <c r="AH46" s="49">
        <f t="shared" si="113"/>
        <v>2369.5</v>
      </c>
      <c r="AI46" s="49">
        <f t="shared" si="64"/>
        <v>2487.9749999999999</v>
      </c>
      <c r="AJ46" s="49">
        <f t="shared" si="65"/>
        <v>426.51</v>
      </c>
      <c r="AK46" s="49">
        <f t="shared" si="66"/>
        <v>284.34000000000003</v>
      </c>
      <c r="AL46" s="49">
        <f t="shared" si="67"/>
        <v>682.41600000000005</v>
      </c>
      <c r="AM46" s="50">
        <f>IF((SUM(AA46:AE46)/2)=0,0,(((((SUM(AA46:AE46)/2)-(VLOOKUP((SUM(AA46:AE46)/2),'[1]Tablas ISR'!$A$4:$D$14,1,TRUE)))*(VLOOKUP((SUM(AA46:AE46)/2),'[1]Tablas ISR'!$A$4:$D$14,4,TRUE)))/100)+(VLOOKUP((SUM(AA46:AE46)/2),'[1]Tablas ISR'!$A$4:$D$14,3,TRUE)))*2)</f>
        <v>2257.4069279999999</v>
      </c>
      <c r="AN46" s="51">
        <f t="shared" si="68"/>
        <v>1634.9550000000002</v>
      </c>
      <c r="AO46" s="49">
        <f t="shared" si="69"/>
        <v>7108.5</v>
      </c>
      <c r="AP46" s="49">
        <f t="shared" si="70"/>
        <v>581.5</v>
      </c>
      <c r="AQ46" s="49">
        <f t="shared" si="71"/>
        <v>361</v>
      </c>
      <c r="AR46" s="49">
        <f t="shared" si="72"/>
        <v>0</v>
      </c>
      <c r="AS46" s="49">
        <f t="shared" si="73"/>
        <v>220.9</v>
      </c>
      <c r="AT46" s="49">
        <f t="shared" si="74"/>
        <v>1243.9875</v>
      </c>
      <c r="AU46" s="49">
        <f t="shared" si="75"/>
        <v>213.255</v>
      </c>
      <c r="AV46" s="49">
        <f t="shared" si="76"/>
        <v>341.20800000000003</v>
      </c>
      <c r="AW46" s="52">
        <f t="shared" si="77"/>
        <v>6325.7190359999995</v>
      </c>
      <c r="AX46" s="3">
        <f t="shared" si="78"/>
        <v>473.9</v>
      </c>
      <c r="AY46" s="3">
        <f t="shared" si="79"/>
        <v>38.766666666666666</v>
      </c>
      <c r="AZ46" s="3">
        <f t="shared" si="80"/>
        <v>24.066666666666666</v>
      </c>
      <c r="BA46" s="3">
        <f t="shared" si="81"/>
        <v>0</v>
      </c>
      <c r="BB46" s="3">
        <f t="shared" si="82"/>
        <v>14.726666666666667</v>
      </c>
      <c r="BC46" s="3">
        <f t="shared" si="83"/>
        <v>19.475342465753425</v>
      </c>
      <c r="BD46" s="3">
        <f t="shared" si="84"/>
        <v>64.917808219178085</v>
      </c>
      <c r="BE46" s="3">
        <f t="shared" si="85"/>
        <v>6.4917808219178079</v>
      </c>
      <c r="BF46" s="3">
        <f t="shared" si="86"/>
        <v>82.93249999999999</v>
      </c>
      <c r="BG46" s="3">
        <f t="shared" si="87"/>
        <v>14.217000000000001</v>
      </c>
      <c r="BH46" s="3">
        <f t="shared" si="88"/>
        <v>9.4780000000000015</v>
      </c>
      <c r="BI46" s="3">
        <f t="shared" si="89"/>
        <v>22.747200000000003</v>
      </c>
      <c r="BJ46" s="3">
        <f t="shared" si="90"/>
        <v>14217</v>
      </c>
      <c r="BK46" s="3">
        <f t="shared" si="91"/>
        <v>1163</v>
      </c>
      <c r="BL46" s="3">
        <f t="shared" si="92"/>
        <v>722</v>
      </c>
      <c r="BM46" s="3">
        <f t="shared" si="93"/>
        <v>0</v>
      </c>
      <c r="BN46" s="3">
        <f t="shared" si="94"/>
        <v>441.8</v>
      </c>
      <c r="BO46" s="3">
        <f t="shared" si="95"/>
        <v>592.375</v>
      </c>
      <c r="BP46" s="3">
        <f t="shared" si="96"/>
        <v>1974.5833333333333</v>
      </c>
      <c r="BQ46" s="3">
        <f t="shared" si="97"/>
        <v>197.45833333333334</v>
      </c>
      <c r="BR46" s="3">
        <f t="shared" si="98"/>
        <v>2487.9749999999999</v>
      </c>
      <c r="BS46" s="3">
        <f t="shared" si="99"/>
        <v>426.51</v>
      </c>
      <c r="BT46" s="3">
        <f t="shared" si="100"/>
        <v>284.34000000000003</v>
      </c>
      <c r="BU46" s="3">
        <f t="shared" si="101"/>
        <v>682.41600000000005</v>
      </c>
      <c r="BV46" s="53">
        <f t="shared" si="114"/>
        <v>170604</v>
      </c>
      <c r="BW46" s="53">
        <f t="shared" si="115"/>
        <v>13956</v>
      </c>
      <c r="BX46" s="53">
        <f t="shared" si="116"/>
        <v>8664</v>
      </c>
      <c r="BY46" s="53">
        <f t="shared" si="117"/>
        <v>0</v>
      </c>
      <c r="BZ46" s="53">
        <f t="shared" si="118"/>
        <v>5301.6</v>
      </c>
      <c r="CA46" s="53">
        <f t="shared" si="119"/>
        <v>7108.5</v>
      </c>
      <c r="CB46" s="53">
        <f t="shared" si="120"/>
        <v>23695</v>
      </c>
      <c r="CC46" s="53">
        <f t="shared" si="121"/>
        <v>2369.5</v>
      </c>
      <c r="CD46" s="53">
        <f t="shared" si="122"/>
        <v>29855.699999999997</v>
      </c>
      <c r="CE46" s="53">
        <f t="shared" si="123"/>
        <v>5118.12</v>
      </c>
      <c r="CF46" s="53">
        <f t="shared" si="124"/>
        <v>3412.0800000000004</v>
      </c>
      <c r="CG46" s="53">
        <f t="shared" si="125"/>
        <v>8188.9920000000002</v>
      </c>
      <c r="CH46" s="54">
        <f t="shared" si="126"/>
        <v>278273.49200000003</v>
      </c>
      <c r="CI46" s="46"/>
      <c r="CJ46" s="46"/>
      <c r="CK46" s="46"/>
      <c r="CL46" s="46"/>
      <c r="CM46" s="46"/>
      <c r="CN46" s="46"/>
      <c r="CO46" s="46"/>
      <c r="CP46" s="46"/>
    </row>
    <row r="47" spans="1:94" ht="27" customHeight="1" x14ac:dyDescent="0.2">
      <c r="A47" s="8">
        <v>43</v>
      </c>
      <c r="B47" s="8">
        <v>550</v>
      </c>
      <c r="C47" s="43" t="s">
        <v>122</v>
      </c>
      <c r="D47" s="44" t="str">
        <f t="shared" si="102"/>
        <v>Larios</v>
      </c>
      <c r="E47" s="44" t="str">
        <f t="shared" si="103"/>
        <v xml:space="preserve">Carrillo </v>
      </c>
      <c r="F47" s="44" t="str">
        <f t="shared" si="104"/>
        <v>Maria Guadalupe</v>
      </c>
      <c r="G47" s="8">
        <v>4</v>
      </c>
      <c r="H47" s="8" t="s">
        <v>121</v>
      </c>
      <c r="I47" s="45" t="s">
        <v>120</v>
      </c>
      <c r="J47" s="45" t="s">
        <v>118</v>
      </c>
      <c r="K47" s="46" t="s">
        <v>6</v>
      </c>
      <c r="L47" s="46" t="s">
        <v>17</v>
      </c>
      <c r="M47" s="46" t="s">
        <v>91</v>
      </c>
      <c r="N47" s="47" t="str">
        <f>IF(H47&gt;0,MID(H47,9,2)&amp;"/"&amp;MID(H47,7,2)&amp;"/"&amp;MID(H47,5,2),0)</f>
        <v>14/12/66</v>
      </c>
      <c r="O47" s="48">
        <f t="shared" ca="1" si="105"/>
        <v>51</v>
      </c>
      <c r="P47" s="1">
        <v>37622</v>
      </c>
      <c r="Q47" s="2" t="str">
        <f t="shared" si="106"/>
        <v>15 años, 11 meses, 30 dias.</v>
      </c>
      <c r="R47" s="2">
        <f t="shared" si="107"/>
        <v>15</v>
      </c>
      <c r="S47" s="2">
        <f t="shared" si="108"/>
        <v>191</v>
      </c>
      <c r="T47" s="2">
        <f t="shared" si="109"/>
        <v>5843</v>
      </c>
      <c r="U47" s="46" t="s">
        <v>90</v>
      </c>
      <c r="V47" s="46">
        <v>10</v>
      </c>
      <c r="W47" s="46" t="s">
        <v>1</v>
      </c>
      <c r="X47" s="46">
        <v>40</v>
      </c>
      <c r="Y47" s="46" t="s">
        <v>2</v>
      </c>
      <c r="Z47" s="46" t="s">
        <v>16</v>
      </c>
      <c r="AA47" s="49">
        <f>IF(C47="Plaza sin presupuesto",0,IF(W47="si",IF(X47=30,VLOOKUP(V47,'[1]Tablas despensa y pasaje 2018'!$A$3:$I$38,2,0),IF(PLANTILLA!X47=40,VLOOKUP(PLANTILLA!V47,'[1]Tablas despensa y pasaje 2018'!$A$3:$I$38,6,0))),IF(X47=30,VLOOKUP(V47,'[1]Tablas despensa y pasaje 2018'!$A$41:$I$48,2,0),IF(X47=40,VLOOKUP(V47,'[1]Tablas despensa y pasaje 2018'!$A$41:$I$48,6,0),0))))</f>
        <v>12905</v>
      </c>
      <c r="AB47" s="49">
        <v>1068</v>
      </c>
      <c r="AC47" s="49">
        <v>679</v>
      </c>
      <c r="AD47" s="49">
        <f t="shared" si="110"/>
        <v>0</v>
      </c>
      <c r="AE47" s="49">
        <f t="shared" si="111"/>
        <v>353.44</v>
      </c>
      <c r="AF47" s="49">
        <f t="shared" si="127"/>
        <v>6452.5</v>
      </c>
      <c r="AG47" s="49">
        <f t="shared" si="112"/>
        <v>21508.333333333336</v>
      </c>
      <c r="AH47" s="49">
        <f t="shared" si="113"/>
        <v>2150.8333333333335</v>
      </c>
      <c r="AI47" s="49">
        <f t="shared" si="64"/>
        <v>2258.375</v>
      </c>
      <c r="AJ47" s="49">
        <f t="shared" si="65"/>
        <v>387.15</v>
      </c>
      <c r="AK47" s="49">
        <f t="shared" si="66"/>
        <v>258.10000000000002</v>
      </c>
      <c r="AL47" s="49">
        <f t="shared" si="67"/>
        <v>619.44000000000005</v>
      </c>
      <c r="AM47" s="50">
        <f>IF((SUM(AA47:AE47)/2)=0,0,(((((SUM(AA47:AE47)/2)-(VLOOKUP((SUM(AA47:AE47)/2),'[1]Tablas ISR'!$A$4:$D$14,1,TRUE)))*(VLOOKUP((SUM(AA47:AE47)/2),'[1]Tablas ISR'!$A$4:$D$14,4,TRUE)))/100)+(VLOOKUP((SUM(AA47:AE47)/2),'[1]Tablas ISR'!$A$4:$D$14,3,TRUE)))*2)</f>
        <v>1928.8132320000002</v>
      </c>
      <c r="AN47" s="51">
        <f t="shared" si="68"/>
        <v>1484.075</v>
      </c>
      <c r="AO47" s="49">
        <f t="shared" si="69"/>
        <v>6452.5</v>
      </c>
      <c r="AP47" s="49">
        <f t="shared" si="70"/>
        <v>534</v>
      </c>
      <c r="AQ47" s="49">
        <f t="shared" si="71"/>
        <v>339.5</v>
      </c>
      <c r="AR47" s="49">
        <f t="shared" si="72"/>
        <v>0</v>
      </c>
      <c r="AS47" s="49">
        <f t="shared" si="73"/>
        <v>176.72</v>
      </c>
      <c r="AT47" s="49">
        <f t="shared" si="74"/>
        <v>1129.1875</v>
      </c>
      <c r="AU47" s="49">
        <f t="shared" si="75"/>
        <v>193.57499999999999</v>
      </c>
      <c r="AV47" s="49">
        <f t="shared" si="76"/>
        <v>309.72000000000003</v>
      </c>
      <c r="AW47" s="52">
        <f t="shared" si="77"/>
        <v>5796.2758839999997</v>
      </c>
      <c r="AX47" s="3">
        <f t="shared" si="78"/>
        <v>430.16666666666669</v>
      </c>
      <c r="AY47" s="3">
        <f t="shared" si="79"/>
        <v>35.6</v>
      </c>
      <c r="AZ47" s="3">
        <f t="shared" si="80"/>
        <v>22.633333333333333</v>
      </c>
      <c r="BA47" s="3">
        <f t="shared" si="81"/>
        <v>0</v>
      </c>
      <c r="BB47" s="3">
        <f t="shared" si="82"/>
        <v>11.781333333333333</v>
      </c>
      <c r="BC47" s="3">
        <f t="shared" si="83"/>
        <v>17.67808219178082</v>
      </c>
      <c r="BD47" s="3">
        <f t="shared" si="84"/>
        <v>58.926940639269411</v>
      </c>
      <c r="BE47" s="3">
        <f t="shared" si="85"/>
        <v>5.8926940639269407</v>
      </c>
      <c r="BF47" s="3">
        <f t="shared" si="86"/>
        <v>75.279166666666669</v>
      </c>
      <c r="BG47" s="3">
        <f t="shared" si="87"/>
        <v>12.904999999999999</v>
      </c>
      <c r="BH47" s="3">
        <f t="shared" si="88"/>
        <v>8.6033333333333335</v>
      </c>
      <c r="BI47" s="3">
        <f t="shared" si="89"/>
        <v>20.648000000000003</v>
      </c>
      <c r="BJ47" s="3">
        <f t="shared" si="90"/>
        <v>12905</v>
      </c>
      <c r="BK47" s="3">
        <f t="shared" si="91"/>
        <v>1068</v>
      </c>
      <c r="BL47" s="3">
        <f t="shared" si="92"/>
        <v>679</v>
      </c>
      <c r="BM47" s="3">
        <f t="shared" si="93"/>
        <v>0</v>
      </c>
      <c r="BN47" s="3">
        <f t="shared" si="94"/>
        <v>353.44</v>
      </c>
      <c r="BO47" s="3">
        <f t="shared" si="95"/>
        <v>537.70833333333337</v>
      </c>
      <c r="BP47" s="3">
        <f t="shared" si="96"/>
        <v>1792.3611111111113</v>
      </c>
      <c r="BQ47" s="3">
        <f t="shared" si="97"/>
        <v>179.23611111111111</v>
      </c>
      <c r="BR47" s="3">
        <f t="shared" si="98"/>
        <v>2258.375</v>
      </c>
      <c r="BS47" s="3">
        <f t="shared" si="99"/>
        <v>387.15</v>
      </c>
      <c r="BT47" s="3">
        <f t="shared" si="100"/>
        <v>258.10000000000002</v>
      </c>
      <c r="BU47" s="3">
        <f t="shared" si="101"/>
        <v>619.44000000000005</v>
      </c>
      <c r="BV47" s="53">
        <f t="shared" si="114"/>
        <v>154860</v>
      </c>
      <c r="BW47" s="53">
        <f t="shared" si="115"/>
        <v>12816</v>
      </c>
      <c r="BX47" s="53">
        <f t="shared" si="116"/>
        <v>8148</v>
      </c>
      <c r="BY47" s="53">
        <f t="shared" si="117"/>
        <v>0</v>
      </c>
      <c r="BZ47" s="53">
        <f t="shared" si="118"/>
        <v>4241.28</v>
      </c>
      <c r="CA47" s="53">
        <f t="shared" si="119"/>
        <v>6452.5</v>
      </c>
      <c r="CB47" s="53">
        <f t="shared" si="120"/>
        <v>21508.333333333336</v>
      </c>
      <c r="CC47" s="53">
        <f t="shared" si="121"/>
        <v>2150.8333333333335</v>
      </c>
      <c r="CD47" s="53">
        <f t="shared" si="122"/>
        <v>27100.5</v>
      </c>
      <c r="CE47" s="53">
        <f t="shared" si="123"/>
        <v>4645.7999999999993</v>
      </c>
      <c r="CF47" s="53">
        <f t="shared" si="124"/>
        <v>3097.2000000000003</v>
      </c>
      <c r="CG47" s="53">
        <f t="shared" si="125"/>
        <v>7433.2800000000007</v>
      </c>
      <c r="CH47" s="54">
        <f t="shared" si="126"/>
        <v>252453.72666666668</v>
      </c>
      <c r="CI47" s="46"/>
      <c r="CJ47" s="46"/>
      <c r="CK47" s="46"/>
      <c r="CL47" s="46"/>
      <c r="CM47" s="46"/>
      <c r="CN47" s="46"/>
      <c r="CO47" s="46"/>
      <c r="CP47" s="46"/>
    </row>
    <row r="48" spans="1:94" s="68" customFormat="1" ht="27" customHeight="1" x14ac:dyDescent="0.2">
      <c r="A48" s="56">
        <v>44</v>
      </c>
      <c r="B48" s="56">
        <v>588</v>
      </c>
      <c r="C48" s="56" t="s">
        <v>38</v>
      </c>
      <c r="D48" s="56" t="str">
        <f t="shared" si="102"/>
        <v>Plaza</v>
      </c>
      <c r="E48" s="56" t="str">
        <f t="shared" si="103"/>
        <v xml:space="preserve">sin </v>
      </c>
      <c r="F48" s="56" t="str">
        <f t="shared" si="104"/>
        <v>presupuesto</v>
      </c>
      <c r="G48" s="56">
        <v>4</v>
      </c>
      <c r="H48" s="56"/>
      <c r="I48" s="57" t="s">
        <v>119</v>
      </c>
      <c r="J48" s="57" t="s">
        <v>118</v>
      </c>
      <c r="K48" s="58"/>
      <c r="L48" s="58"/>
      <c r="M48" s="58"/>
      <c r="N48" s="59">
        <f>IF(H48&gt;0,MID(H48,9,2)&amp;"/"&amp;MID(H48,7,2)&amp;"/"&amp;MID(H48,5,2),0)</f>
        <v>0</v>
      </c>
      <c r="O48" s="58" t="str">
        <f t="shared" ca="1" si="105"/>
        <v>N/A</v>
      </c>
      <c r="P48" s="60"/>
      <c r="Q48" s="4">
        <f t="shared" si="106"/>
        <v>0</v>
      </c>
      <c r="R48" s="4">
        <f t="shared" si="107"/>
        <v>118</v>
      </c>
      <c r="S48" s="4">
        <f t="shared" si="108"/>
        <v>1427</v>
      </c>
      <c r="T48" s="4">
        <f t="shared" si="109"/>
        <v>43465</v>
      </c>
      <c r="U48" s="58" t="s">
        <v>90</v>
      </c>
      <c r="V48" s="58">
        <v>14</v>
      </c>
      <c r="W48" s="58" t="s">
        <v>16</v>
      </c>
      <c r="X48" s="58">
        <v>40</v>
      </c>
      <c r="Y48" s="58" t="s">
        <v>15</v>
      </c>
      <c r="Z48" s="58" t="s">
        <v>1</v>
      </c>
      <c r="AA48" s="61">
        <f>IF(C48="Plaza sin presupuesto",0,IF(W48="si",IF(X48=30,VLOOKUP(V48,'[1]Tablas despensa y pasaje 2018'!$A$3:$I$38,2,0),IF(PLANTILLA!X48=40,VLOOKUP(PLANTILLA!V48,'[1]Tablas despensa y pasaje 2018'!$A$3:$I$38,6,0))),IF(X48=30,VLOOKUP(V48,'[1]Tablas despensa y pasaje 2018'!$A$41:$I$48,2,0),IF(X48=40,VLOOKUP(V48,'[1]Tablas despensa y pasaje 2018'!$A$41:$I$48,6,0),0))))</f>
        <v>0</v>
      </c>
      <c r="AB48" s="61">
        <f>IF(C48="Plaza sin presupuesto",0,IF(W48="si",IF(X48=30,VLOOKUP(V48,'[1]Tablas despensa y pasaje 2018'!$A$3:$I$38,3,0),IF(PLANTILLA!X48=40,VLOOKUP(PLANTILLA!V48,'[1]Tablas despensa y pasaje 2018'!$A$3:$I$38,7,0))),IF(X48=30,VLOOKUP(V48,'[1]Tablas despensa y pasaje 2018'!$A$41:$I$48,3,0),IF(X48=40,VLOOKUP(V48,'[1]Tablas despensa y pasaje 2018'!$A$41:$I$48,7,0),0))))</f>
        <v>0</v>
      </c>
      <c r="AC48" s="61">
        <f>IF(C48="Plaza sin presupuesto",0,IF(W48="si",IF(X48=30,VLOOKUP(V48,'[1]Tablas despensa y pasaje 2018'!$A$3:$I$38,4,0),IF(PLANTILLA!X48=40,VLOOKUP(PLANTILLA!V48,'[1]Tablas despensa y pasaje 2018'!$A$3:$I$38,8,0))),IF(X48=30,VLOOKUP(V48,'[1]Tablas despensa y pasaje 2018'!$A$41:$I$48,4,0),IF(X48=40,VLOOKUP(V48,'[1]Tablas despensa y pasaje 2018'!$A$41:$I$48,8,0),0))))</f>
        <v>0</v>
      </c>
      <c r="AD48" s="61">
        <f t="shared" si="110"/>
        <v>0</v>
      </c>
      <c r="AE48" s="61">
        <f t="shared" si="111"/>
        <v>0</v>
      </c>
      <c r="AF48" s="61">
        <f t="shared" si="127"/>
        <v>0</v>
      </c>
      <c r="AG48" s="61">
        <f t="shared" si="112"/>
        <v>0</v>
      </c>
      <c r="AH48" s="61">
        <f t="shared" si="113"/>
        <v>0</v>
      </c>
      <c r="AI48" s="61">
        <f t="shared" si="64"/>
        <v>0</v>
      </c>
      <c r="AJ48" s="61">
        <f t="shared" si="65"/>
        <v>0</v>
      </c>
      <c r="AK48" s="61">
        <f t="shared" si="66"/>
        <v>0</v>
      </c>
      <c r="AL48" s="61">
        <f t="shared" si="67"/>
        <v>0</v>
      </c>
      <c r="AM48" s="62">
        <f>IF((SUM(AA48:AE48)/2)=0,0,(((((SUM(AA48:AE48)/2)-(VLOOKUP((SUM(AA48:AE48)/2),'[1]Tablas ISR'!$A$4:$D$14,1,TRUE)))*(VLOOKUP((SUM(AA48:AE48)/2),'[1]Tablas ISR'!$A$4:$D$14,4,TRUE)))/100)+(VLOOKUP((SUM(AA48:AE48)/2),'[1]Tablas ISR'!$A$4:$D$14,3,TRUE)))*2)</f>
        <v>0</v>
      </c>
      <c r="AN48" s="63">
        <f t="shared" si="68"/>
        <v>0</v>
      </c>
      <c r="AO48" s="61">
        <f t="shared" si="69"/>
        <v>0</v>
      </c>
      <c r="AP48" s="61">
        <f t="shared" si="70"/>
        <v>0</v>
      </c>
      <c r="AQ48" s="61">
        <f t="shared" si="71"/>
        <v>0</v>
      </c>
      <c r="AR48" s="61">
        <f t="shared" si="72"/>
        <v>0</v>
      </c>
      <c r="AS48" s="61">
        <f t="shared" si="73"/>
        <v>0</v>
      </c>
      <c r="AT48" s="61">
        <f t="shared" si="74"/>
        <v>0</v>
      </c>
      <c r="AU48" s="61">
        <f t="shared" si="75"/>
        <v>0</v>
      </c>
      <c r="AV48" s="61">
        <f t="shared" si="76"/>
        <v>0</v>
      </c>
      <c r="AW48" s="64">
        <f t="shared" si="77"/>
        <v>0</v>
      </c>
      <c r="AX48" s="5">
        <f t="shared" si="78"/>
        <v>0</v>
      </c>
      <c r="AY48" s="5">
        <f t="shared" si="79"/>
        <v>0</v>
      </c>
      <c r="AZ48" s="5">
        <f t="shared" si="80"/>
        <v>0</v>
      </c>
      <c r="BA48" s="5">
        <f t="shared" si="81"/>
        <v>0</v>
      </c>
      <c r="BB48" s="5">
        <f t="shared" si="82"/>
        <v>0</v>
      </c>
      <c r="BC48" s="5">
        <f t="shared" si="83"/>
        <v>0</v>
      </c>
      <c r="BD48" s="5">
        <f t="shared" si="84"/>
        <v>0</v>
      </c>
      <c r="BE48" s="5">
        <f t="shared" si="85"/>
        <v>0</v>
      </c>
      <c r="BF48" s="5">
        <f t="shared" si="86"/>
        <v>0</v>
      </c>
      <c r="BG48" s="5">
        <f t="shared" si="87"/>
        <v>0</v>
      </c>
      <c r="BH48" s="5">
        <f t="shared" si="88"/>
        <v>0</v>
      </c>
      <c r="BI48" s="5">
        <f t="shared" si="89"/>
        <v>0</v>
      </c>
      <c r="BJ48" s="5">
        <f t="shared" si="90"/>
        <v>0</v>
      </c>
      <c r="BK48" s="5">
        <f t="shared" si="91"/>
        <v>0</v>
      </c>
      <c r="BL48" s="5">
        <f t="shared" si="92"/>
        <v>0</v>
      </c>
      <c r="BM48" s="5">
        <f t="shared" si="93"/>
        <v>0</v>
      </c>
      <c r="BN48" s="5">
        <f t="shared" si="94"/>
        <v>0</v>
      </c>
      <c r="BO48" s="5">
        <f t="shared" si="95"/>
        <v>0</v>
      </c>
      <c r="BP48" s="5">
        <f t="shared" si="96"/>
        <v>0</v>
      </c>
      <c r="BQ48" s="5">
        <f t="shared" si="97"/>
        <v>0</v>
      </c>
      <c r="BR48" s="5">
        <f t="shared" si="98"/>
        <v>0</v>
      </c>
      <c r="BS48" s="5">
        <f t="shared" si="99"/>
        <v>0</v>
      </c>
      <c r="BT48" s="5">
        <f t="shared" si="100"/>
        <v>0</v>
      </c>
      <c r="BU48" s="5">
        <f t="shared" si="101"/>
        <v>0</v>
      </c>
      <c r="BV48" s="65">
        <f t="shared" si="114"/>
        <v>0</v>
      </c>
      <c r="BW48" s="65">
        <f t="shared" si="115"/>
        <v>0</v>
      </c>
      <c r="BX48" s="65">
        <f t="shared" si="116"/>
        <v>0</v>
      </c>
      <c r="BY48" s="65">
        <f t="shared" si="117"/>
        <v>0</v>
      </c>
      <c r="BZ48" s="65">
        <f t="shared" si="118"/>
        <v>0</v>
      </c>
      <c r="CA48" s="65">
        <f t="shared" si="119"/>
        <v>0</v>
      </c>
      <c r="CB48" s="65">
        <f t="shared" si="120"/>
        <v>0</v>
      </c>
      <c r="CC48" s="65">
        <f t="shared" si="121"/>
        <v>0</v>
      </c>
      <c r="CD48" s="65">
        <f t="shared" si="122"/>
        <v>0</v>
      </c>
      <c r="CE48" s="65">
        <f t="shared" si="123"/>
        <v>0</v>
      </c>
      <c r="CF48" s="65">
        <f t="shared" si="124"/>
        <v>0</v>
      </c>
      <c r="CG48" s="65">
        <f t="shared" si="125"/>
        <v>0</v>
      </c>
      <c r="CH48" s="66">
        <f t="shared" si="126"/>
        <v>0</v>
      </c>
      <c r="CI48" s="67"/>
      <c r="CJ48" s="67"/>
      <c r="CK48" s="67"/>
      <c r="CL48" s="67"/>
      <c r="CM48" s="67"/>
      <c r="CN48" s="67"/>
      <c r="CO48" s="67"/>
      <c r="CP48" s="67"/>
    </row>
    <row r="49" spans="1:94" ht="27" customHeight="1" x14ac:dyDescent="0.2">
      <c r="A49" s="8">
        <v>45</v>
      </c>
      <c r="B49" s="8">
        <v>674</v>
      </c>
      <c r="C49" s="43" t="s">
        <v>117</v>
      </c>
      <c r="D49" s="44" t="str">
        <f t="shared" si="102"/>
        <v>Altamirano</v>
      </c>
      <c r="E49" s="44" t="str">
        <f t="shared" si="103"/>
        <v xml:space="preserve">Limon </v>
      </c>
      <c r="F49" s="44" t="str">
        <f t="shared" si="104"/>
        <v>Juan Pablo</v>
      </c>
      <c r="G49" s="8">
        <v>3</v>
      </c>
      <c r="H49" s="8" t="s">
        <v>116</v>
      </c>
      <c r="I49" s="45" t="s">
        <v>34</v>
      </c>
      <c r="J49" s="45" t="s">
        <v>99</v>
      </c>
      <c r="K49" s="46" t="s">
        <v>6</v>
      </c>
      <c r="L49" s="46" t="s">
        <v>5</v>
      </c>
      <c r="M49" s="46" t="s">
        <v>30</v>
      </c>
      <c r="N49" s="47" t="str">
        <f>IF(H49&gt;0,MID(H49,9,2)&amp;"/"&amp;MID(H49,7,2)&amp;"/"&amp;MID(H49,5,2),0)</f>
        <v>29/08/74</v>
      </c>
      <c r="O49" s="48">
        <f t="shared" ca="1" si="105"/>
        <v>43</v>
      </c>
      <c r="P49" s="1">
        <v>41383</v>
      </c>
      <c r="Q49" s="2" t="str">
        <f t="shared" si="106"/>
        <v>5 años, 8 meses, 12 dias.</v>
      </c>
      <c r="R49" s="2">
        <f t="shared" si="107"/>
        <v>5</v>
      </c>
      <c r="S49" s="2">
        <f t="shared" si="108"/>
        <v>68</v>
      </c>
      <c r="T49" s="2">
        <f t="shared" si="109"/>
        <v>2082</v>
      </c>
      <c r="U49" s="46" t="s">
        <v>90</v>
      </c>
      <c r="V49" s="46">
        <v>23</v>
      </c>
      <c r="W49" s="46" t="s">
        <v>16</v>
      </c>
      <c r="X49" s="46">
        <v>40</v>
      </c>
      <c r="Y49" s="46" t="s">
        <v>15</v>
      </c>
      <c r="Z49" s="46" t="s">
        <v>1</v>
      </c>
      <c r="AA49" s="49">
        <f>IF(C49="Plaza sin presupuesto",0,IF(W49="si",IF(X49=30,VLOOKUP(V49,'[1]Tablas despensa y pasaje 2018'!$A$3:$I$38,2,0),IF(PLANTILLA!X49=40,VLOOKUP(PLANTILLA!V49,'[1]Tablas despensa y pasaje 2018'!$A$3:$I$38,6,0))),IF(X49=30,VLOOKUP(V49,'[1]Tablas despensa y pasaje 2018'!$A$41:$I$48,2,0),IF(X49=40,VLOOKUP(V49,'[1]Tablas despensa y pasaje 2018'!$A$41:$I$48,6,0),0))))</f>
        <v>38208</v>
      </c>
      <c r="AB49" s="49">
        <f>IF(C49="Plaza sin presupuesto",0,IF(W49="si",IF(X49=30,VLOOKUP(V49,'[1]Tablas despensa y pasaje 2018'!$A$3:$I$38,3,0),IF(PLANTILLA!X49=40,VLOOKUP(PLANTILLA!V49,'[1]Tablas despensa y pasaje 2018'!$A$3:$I$38,7,0))),IF(X49=30,VLOOKUP(V49,'[1]Tablas despensa y pasaje 2018'!$A$41:$I$48,3,0),IF(X49=40,VLOOKUP(V49,'[1]Tablas despensa y pasaje 2018'!$A$41:$I$48,7,0),0))))</f>
        <v>1808</v>
      </c>
      <c r="AC49" s="49">
        <f>IF(C49="Plaza sin presupuesto",0,IF(W49="si",IF(X49=30,VLOOKUP(V49,'[1]Tablas despensa y pasaje 2018'!$A$3:$I$38,4,0),IF(PLANTILLA!X49=40,VLOOKUP(PLANTILLA!V49,'[1]Tablas despensa y pasaje 2018'!$A$3:$I$38,8,0))),IF(X49=30,VLOOKUP(V49,'[1]Tablas despensa y pasaje 2018'!$A$41:$I$48,4,0),IF(X49=40,VLOOKUP(V49,'[1]Tablas despensa y pasaje 2018'!$A$41:$I$48,8,0),0))))</f>
        <v>1299</v>
      </c>
      <c r="AD49" s="49">
        <f t="shared" si="110"/>
        <v>0</v>
      </c>
      <c r="AE49" s="49">
        <f t="shared" si="111"/>
        <v>176.72</v>
      </c>
      <c r="AF49" s="49">
        <f t="shared" si="127"/>
        <v>19104</v>
      </c>
      <c r="AG49" s="49">
        <f t="shared" si="112"/>
        <v>63679.999999999993</v>
      </c>
      <c r="AH49" s="49">
        <f t="shared" si="113"/>
        <v>6368</v>
      </c>
      <c r="AI49" s="49">
        <f t="shared" si="64"/>
        <v>6686.4</v>
      </c>
      <c r="AJ49" s="49">
        <f t="shared" si="65"/>
        <v>1146.24</v>
      </c>
      <c r="AK49" s="49">
        <f t="shared" si="66"/>
        <v>764.16</v>
      </c>
      <c r="AL49" s="49">
        <f t="shared" si="67"/>
        <v>1833.9840000000002</v>
      </c>
      <c r="AM49" s="50">
        <f>IF((SUM(AA49:AE49)/2)=0,0,(((((SUM(AA49:AE49)/2)-(VLOOKUP((SUM(AA49:AE49)/2),'[1]Tablas ISR'!$A$4:$D$14,1,TRUE)))*(VLOOKUP((SUM(AA49:AE49)/2),'[1]Tablas ISR'!$A$4:$D$14,4,TRUE)))/100)+(VLOOKUP((SUM(AA49:AE49)/2),'[1]Tablas ISR'!$A$4:$D$14,3,TRUE)))*2)</f>
        <v>8213.4600000000009</v>
      </c>
      <c r="AN49" s="51">
        <f t="shared" si="68"/>
        <v>4393.92</v>
      </c>
      <c r="AO49" s="49">
        <f t="shared" si="69"/>
        <v>19104</v>
      </c>
      <c r="AP49" s="49">
        <f t="shared" si="70"/>
        <v>904</v>
      </c>
      <c r="AQ49" s="49">
        <f t="shared" si="71"/>
        <v>649.5</v>
      </c>
      <c r="AR49" s="49">
        <f t="shared" si="72"/>
        <v>0</v>
      </c>
      <c r="AS49" s="49">
        <f t="shared" si="73"/>
        <v>88.36</v>
      </c>
      <c r="AT49" s="49">
        <f t="shared" si="74"/>
        <v>3343.2</v>
      </c>
      <c r="AU49" s="49">
        <f t="shared" si="75"/>
        <v>573.12</v>
      </c>
      <c r="AV49" s="49">
        <f t="shared" si="76"/>
        <v>916.99200000000008</v>
      </c>
      <c r="AW49" s="52">
        <f t="shared" si="77"/>
        <v>14442.170000000002</v>
      </c>
      <c r="AX49" s="3">
        <f t="shared" si="78"/>
        <v>1273.5999999999999</v>
      </c>
      <c r="AY49" s="3">
        <f t="shared" si="79"/>
        <v>60.266666666666666</v>
      </c>
      <c r="AZ49" s="3">
        <f t="shared" si="80"/>
        <v>43.3</v>
      </c>
      <c r="BA49" s="3">
        <f t="shared" si="81"/>
        <v>0</v>
      </c>
      <c r="BB49" s="3">
        <f t="shared" si="82"/>
        <v>5.8906666666666663</v>
      </c>
      <c r="BC49" s="3">
        <f t="shared" si="83"/>
        <v>52.339726027397262</v>
      </c>
      <c r="BD49" s="3">
        <f t="shared" si="84"/>
        <v>174.46575342465752</v>
      </c>
      <c r="BE49" s="3">
        <f t="shared" si="85"/>
        <v>17.446575342465753</v>
      </c>
      <c r="BF49" s="3">
        <f t="shared" si="86"/>
        <v>222.88</v>
      </c>
      <c r="BG49" s="3">
        <f t="shared" si="87"/>
        <v>38.207999999999998</v>
      </c>
      <c r="BH49" s="3">
        <f t="shared" si="88"/>
        <v>25.471999999999998</v>
      </c>
      <c r="BI49" s="3">
        <f t="shared" si="89"/>
        <v>61.132800000000003</v>
      </c>
      <c r="BJ49" s="3">
        <f t="shared" si="90"/>
        <v>38208</v>
      </c>
      <c r="BK49" s="3">
        <f t="shared" si="91"/>
        <v>1808</v>
      </c>
      <c r="BL49" s="3">
        <f t="shared" si="92"/>
        <v>1299</v>
      </c>
      <c r="BM49" s="3">
        <f t="shared" si="93"/>
        <v>0</v>
      </c>
      <c r="BN49" s="3">
        <f t="shared" si="94"/>
        <v>176.72</v>
      </c>
      <c r="BO49" s="3">
        <f t="shared" si="95"/>
        <v>1592</v>
      </c>
      <c r="BP49" s="3">
        <f t="shared" si="96"/>
        <v>5306.6666666666661</v>
      </c>
      <c r="BQ49" s="3">
        <f t="shared" si="97"/>
        <v>530.66666666666663</v>
      </c>
      <c r="BR49" s="3">
        <f t="shared" si="98"/>
        <v>6686.4</v>
      </c>
      <c r="BS49" s="3">
        <f t="shared" si="99"/>
        <v>1146.24</v>
      </c>
      <c r="BT49" s="3">
        <f t="shared" si="100"/>
        <v>764.16</v>
      </c>
      <c r="BU49" s="3">
        <f t="shared" si="101"/>
        <v>1833.9840000000002</v>
      </c>
      <c r="BV49" s="53">
        <f t="shared" si="114"/>
        <v>458496</v>
      </c>
      <c r="BW49" s="53">
        <f t="shared" si="115"/>
        <v>21696</v>
      </c>
      <c r="BX49" s="53">
        <f t="shared" si="116"/>
        <v>15588</v>
      </c>
      <c r="BY49" s="53">
        <f t="shared" si="117"/>
        <v>0</v>
      </c>
      <c r="BZ49" s="53">
        <f t="shared" si="118"/>
        <v>2120.64</v>
      </c>
      <c r="CA49" s="53">
        <f t="shared" si="119"/>
        <v>19104</v>
      </c>
      <c r="CB49" s="53">
        <f t="shared" si="120"/>
        <v>63679.999999999993</v>
      </c>
      <c r="CC49" s="53">
        <f t="shared" si="121"/>
        <v>6368</v>
      </c>
      <c r="CD49" s="53">
        <f t="shared" si="122"/>
        <v>80236.799999999988</v>
      </c>
      <c r="CE49" s="53">
        <f t="shared" si="123"/>
        <v>13754.880000000001</v>
      </c>
      <c r="CF49" s="53">
        <f t="shared" si="124"/>
        <v>9169.92</v>
      </c>
      <c r="CG49" s="53">
        <f t="shared" si="125"/>
        <v>22007.808000000001</v>
      </c>
      <c r="CH49" s="54">
        <f t="shared" si="126"/>
        <v>712222.04799999995</v>
      </c>
      <c r="CI49" s="46"/>
      <c r="CJ49" s="46"/>
      <c r="CK49" s="46"/>
      <c r="CL49" s="46"/>
      <c r="CM49" s="46"/>
      <c r="CN49" s="46"/>
      <c r="CO49" s="46"/>
      <c r="CP49" s="46"/>
    </row>
    <row r="50" spans="1:94" ht="27" customHeight="1" x14ac:dyDescent="0.2">
      <c r="A50" s="8">
        <v>46</v>
      </c>
      <c r="B50" s="8">
        <v>675</v>
      </c>
      <c r="C50" s="43" t="s">
        <v>115</v>
      </c>
      <c r="D50" s="44" t="str">
        <f t="shared" si="102"/>
        <v>Gonzalez</v>
      </c>
      <c r="E50" s="44" t="str">
        <f t="shared" si="103"/>
        <v xml:space="preserve">Hernandez </v>
      </c>
      <c r="F50" s="44" t="str">
        <f t="shared" si="104"/>
        <v>Antonio</v>
      </c>
      <c r="G50" s="8">
        <v>3</v>
      </c>
      <c r="H50" s="8" t="s">
        <v>114</v>
      </c>
      <c r="I50" s="45" t="s">
        <v>113</v>
      </c>
      <c r="J50" s="45" t="s">
        <v>99</v>
      </c>
      <c r="K50" s="46" t="s">
        <v>23</v>
      </c>
      <c r="L50" s="46" t="s">
        <v>5</v>
      </c>
      <c r="M50" s="46" t="s">
        <v>11</v>
      </c>
      <c r="N50" s="47" t="str">
        <f>IF(H50&gt;0,MID(H50,9,2)&amp;"/"&amp;MID(H50,7,2)&amp;"/"&amp;MID(H50,5,2),0)</f>
        <v>07/09/75</v>
      </c>
      <c r="O50" s="48">
        <f t="shared" ca="1" si="105"/>
        <v>42</v>
      </c>
      <c r="P50" s="7">
        <v>42555</v>
      </c>
      <c r="Q50" s="2" t="str">
        <f t="shared" si="106"/>
        <v>2 años, 5 meses, 27 dias.</v>
      </c>
      <c r="R50" s="2">
        <f t="shared" si="107"/>
        <v>2</v>
      </c>
      <c r="S50" s="2">
        <f t="shared" si="108"/>
        <v>29</v>
      </c>
      <c r="T50" s="2">
        <f t="shared" si="109"/>
        <v>910</v>
      </c>
      <c r="U50" s="46" t="s">
        <v>90</v>
      </c>
      <c r="V50" s="46">
        <v>17</v>
      </c>
      <c r="W50" s="46" t="s">
        <v>1</v>
      </c>
      <c r="X50" s="46">
        <v>40</v>
      </c>
      <c r="Y50" s="46" t="s">
        <v>15</v>
      </c>
      <c r="Z50" s="46" t="s">
        <v>1</v>
      </c>
      <c r="AA50" s="49">
        <f>IF(C50="Plaza sin presupuesto",0,IF(W50="si",IF(X50=30,VLOOKUP(V50,'[1]Tablas despensa y pasaje 2018'!$A$3:$I$38,2,0),IF(PLANTILLA!X50=40,VLOOKUP(PLANTILLA!V50,'[1]Tablas despensa y pasaje 2018'!$A$3:$I$38,6,0))),IF(X50=30,VLOOKUP(V50,'[1]Tablas despensa y pasaje 2018'!$A$41:$I$48,2,0),IF(X50=40,VLOOKUP(V50,'[1]Tablas despensa y pasaje 2018'!$A$41:$I$48,6,0),0))))</f>
        <v>19032</v>
      </c>
      <c r="AB50" s="49">
        <f>IF(C50="Plaza sin presupuesto",0,IF(W50="si",IF(X50=30,VLOOKUP(V50,'[1]Tablas despensa y pasaje 2018'!$A$3:$I$38,3,0),IF(PLANTILLA!X50=40,VLOOKUP(PLANTILLA!V50,'[1]Tablas despensa y pasaje 2018'!$A$3:$I$38,7,0))),IF(X50=30,VLOOKUP(V50,'[1]Tablas despensa y pasaje 2018'!$A$41:$I$48,3,0),IF(X50=40,VLOOKUP(V50,'[1]Tablas despensa y pasaje 2018'!$A$41:$I$48,7,0),0))))</f>
        <v>1286</v>
      </c>
      <c r="AC50" s="49">
        <f>IF(C50="Plaza sin presupuesto",0,IF(W50="si",IF(X50=30,VLOOKUP(V50,'[1]Tablas despensa y pasaje 2018'!$A$3:$I$38,4,0),IF(PLANTILLA!X50=40,VLOOKUP(PLANTILLA!V50,'[1]Tablas despensa y pasaje 2018'!$A$3:$I$38,8,0))),IF(X50=30,VLOOKUP(V50,'[1]Tablas despensa y pasaje 2018'!$A$41:$I$48,4,0),IF(X50=40,VLOOKUP(V50,'[1]Tablas despensa y pasaje 2018'!$A$41:$I$48,8,0),0))))</f>
        <v>857</v>
      </c>
      <c r="AD50" s="49">
        <f t="shared" si="110"/>
        <v>0</v>
      </c>
      <c r="AE50" s="49">
        <f t="shared" si="111"/>
        <v>0</v>
      </c>
      <c r="AF50" s="49">
        <f t="shared" si="127"/>
        <v>9516</v>
      </c>
      <c r="AG50" s="49">
        <f t="shared" si="112"/>
        <v>31720</v>
      </c>
      <c r="AH50" s="49">
        <f t="shared" si="113"/>
        <v>3172</v>
      </c>
      <c r="AI50" s="49">
        <f t="shared" si="64"/>
        <v>3330.6</v>
      </c>
      <c r="AJ50" s="49">
        <f t="shared" si="65"/>
        <v>570.95999999999992</v>
      </c>
      <c r="AK50" s="49">
        <f t="shared" si="66"/>
        <v>380.64</v>
      </c>
      <c r="AL50" s="49">
        <f t="shared" si="67"/>
        <v>913.53600000000006</v>
      </c>
      <c r="AM50" s="50">
        <f>IF((SUM(AA50:AE50)/2)=0,0,(((((SUM(AA50:AE50)/2)-(VLOOKUP((SUM(AA50:AE50)/2),'[1]Tablas ISR'!$A$4:$D$14,1,TRUE)))*(VLOOKUP((SUM(AA50:AE50)/2),'[1]Tablas ISR'!$A$4:$D$14,4,TRUE)))/100)+(VLOOKUP((SUM(AA50:AE50)/2),'[1]Tablas ISR'!$A$4:$D$14,3,TRUE)))*2)</f>
        <v>3246.6312479999997</v>
      </c>
      <c r="AN50" s="51">
        <f t="shared" si="68"/>
        <v>2188.6800000000003</v>
      </c>
      <c r="AO50" s="49">
        <f t="shared" si="69"/>
        <v>9516</v>
      </c>
      <c r="AP50" s="49">
        <f t="shared" si="70"/>
        <v>643</v>
      </c>
      <c r="AQ50" s="49">
        <f t="shared" si="71"/>
        <v>428.5</v>
      </c>
      <c r="AR50" s="49">
        <f t="shared" si="72"/>
        <v>0</v>
      </c>
      <c r="AS50" s="49">
        <f t="shared" si="73"/>
        <v>0</v>
      </c>
      <c r="AT50" s="49">
        <f t="shared" si="74"/>
        <v>1665.3</v>
      </c>
      <c r="AU50" s="49">
        <f t="shared" si="75"/>
        <v>285.47999999999996</v>
      </c>
      <c r="AV50" s="49">
        <f t="shared" si="76"/>
        <v>456.76800000000003</v>
      </c>
      <c r="AW50" s="52">
        <f t="shared" si="77"/>
        <v>7869.8443760000009</v>
      </c>
      <c r="AX50" s="3">
        <f t="shared" si="78"/>
        <v>634.4</v>
      </c>
      <c r="AY50" s="3">
        <f t="shared" si="79"/>
        <v>42.866666666666667</v>
      </c>
      <c r="AZ50" s="3">
        <f t="shared" si="80"/>
        <v>28.566666666666666</v>
      </c>
      <c r="BA50" s="3">
        <f t="shared" si="81"/>
        <v>0</v>
      </c>
      <c r="BB50" s="3">
        <f t="shared" si="82"/>
        <v>0</v>
      </c>
      <c r="BC50" s="3">
        <f t="shared" si="83"/>
        <v>26.07123287671233</v>
      </c>
      <c r="BD50" s="3">
        <f t="shared" si="84"/>
        <v>86.904109589041099</v>
      </c>
      <c r="BE50" s="3">
        <f t="shared" si="85"/>
        <v>8.6904109589041099</v>
      </c>
      <c r="BF50" s="3">
        <f t="shared" si="86"/>
        <v>111.02</v>
      </c>
      <c r="BG50" s="3">
        <f t="shared" si="87"/>
        <v>19.031999999999996</v>
      </c>
      <c r="BH50" s="3">
        <f t="shared" si="88"/>
        <v>12.687999999999999</v>
      </c>
      <c r="BI50" s="3">
        <f t="shared" si="89"/>
        <v>30.451200000000004</v>
      </c>
      <c r="BJ50" s="3">
        <f t="shared" si="90"/>
        <v>19032</v>
      </c>
      <c r="BK50" s="3">
        <f t="shared" si="91"/>
        <v>1286</v>
      </c>
      <c r="BL50" s="3">
        <f t="shared" si="92"/>
        <v>857</v>
      </c>
      <c r="BM50" s="3">
        <f t="shared" si="93"/>
        <v>0</v>
      </c>
      <c r="BN50" s="3">
        <f t="shared" si="94"/>
        <v>0</v>
      </c>
      <c r="BO50" s="3">
        <f t="shared" si="95"/>
        <v>793</v>
      </c>
      <c r="BP50" s="3">
        <f t="shared" si="96"/>
        <v>2643.3333333333335</v>
      </c>
      <c r="BQ50" s="3">
        <f t="shared" si="97"/>
        <v>264.33333333333331</v>
      </c>
      <c r="BR50" s="3">
        <f t="shared" si="98"/>
        <v>3330.6</v>
      </c>
      <c r="BS50" s="3">
        <f t="shared" si="99"/>
        <v>570.95999999999992</v>
      </c>
      <c r="BT50" s="3">
        <f t="shared" si="100"/>
        <v>380.64</v>
      </c>
      <c r="BU50" s="3">
        <f t="shared" si="101"/>
        <v>913.53600000000006</v>
      </c>
      <c r="BV50" s="53">
        <f t="shared" si="114"/>
        <v>228384</v>
      </c>
      <c r="BW50" s="53">
        <f t="shared" si="115"/>
        <v>15432</v>
      </c>
      <c r="BX50" s="53">
        <f t="shared" si="116"/>
        <v>10284</v>
      </c>
      <c r="BY50" s="53">
        <f t="shared" si="117"/>
        <v>0</v>
      </c>
      <c r="BZ50" s="53">
        <f t="shared" si="118"/>
        <v>0</v>
      </c>
      <c r="CA50" s="53">
        <f t="shared" si="119"/>
        <v>9516</v>
      </c>
      <c r="CB50" s="53">
        <f t="shared" si="120"/>
        <v>31720</v>
      </c>
      <c r="CC50" s="53">
        <f t="shared" si="121"/>
        <v>3172</v>
      </c>
      <c r="CD50" s="53">
        <f t="shared" si="122"/>
        <v>39967.199999999997</v>
      </c>
      <c r="CE50" s="53">
        <f t="shared" si="123"/>
        <v>6851.5199999999986</v>
      </c>
      <c r="CF50" s="53">
        <f t="shared" si="124"/>
        <v>4567.68</v>
      </c>
      <c r="CG50" s="53">
        <f t="shared" si="125"/>
        <v>10962.432000000001</v>
      </c>
      <c r="CH50" s="54">
        <f t="shared" si="126"/>
        <v>360856.83200000005</v>
      </c>
      <c r="CI50" s="46"/>
      <c r="CJ50" s="46"/>
      <c r="CK50" s="46"/>
      <c r="CL50" s="46"/>
      <c r="CM50" s="46"/>
      <c r="CN50" s="46"/>
      <c r="CO50" s="46"/>
      <c r="CP50" s="46"/>
    </row>
    <row r="51" spans="1:94" ht="27" customHeight="1" x14ac:dyDescent="0.2">
      <c r="A51" s="8">
        <v>47</v>
      </c>
      <c r="B51" s="8">
        <v>676</v>
      </c>
      <c r="C51" s="43" t="s">
        <v>112</v>
      </c>
      <c r="D51" s="44" t="str">
        <f t="shared" si="102"/>
        <v>Soto</v>
      </c>
      <c r="E51" s="44" t="str">
        <f t="shared" si="103"/>
        <v xml:space="preserve">Arteaga </v>
      </c>
      <c r="F51" s="44" t="str">
        <f t="shared" si="104"/>
        <v>Omar Eduardo</v>
      </c>
      <c r="G51" s="8">
        <v>3</v>
      </c>
      <c r="H51" s="8" t="s">
        <v>111</v>
      </c>
      <c r="I51" s="45" t="s">
        <v>110</v>
      </c>
      <c r="J51" s="45" t="s">
        <v>99</v>
      </c>
      <c r="K51" s="46" t="s">
        <v>12</v>
      </c>
      <c r="L51" s="46" t="s">
        <v>5</v>
      </c>
      <c r="M51" s="46" t="s">
        <v>30</v>
      </c>
      <c r="N51" s="47" t="str">
        <f>IF(H51&gt;0,MID(H51,9,2)&amp;"/"&amp;MID(H51,7,2)&amp;"/"&amp;MID(H51,5,2),0)</f>
        <v>20/12/85</v>
      </c>
      <c r="O51" s="48">
        <f t="shared" ca="1" si="105"/>
        <v>32</v>
      </c>
      <c r="P51" s="1">
        <v>40241</v>
      </c>
      <c r="Q51" s="2" t="str">
        <f t="shared" si="106"/>
        <v>8 años, 9 meses, 27 dias.</v>
      </c>
      <c r="R51" s="2">
        <f t="shared" si="107"/>
        <v>8</v>
      </c>
      <c r="S51" s="2">
        <f t="shared" si="108"/>
        <v>105</v>
      </c>
      <c r="T51" s="2">
        <f t="shared" si="109"/>
        <v>3224</v>
      </c>
      <c r="U51" s="46" t="s">
        <v>90</v>
      </c>
      <c r="V51" s="46">
        <v>17</v>
      </c>
      <c r="W51" s="46" t="s">
        <v>1</v>
      </c>
      <c r="X51" s="46">
        <v>40</v>
      </c>
      <c r="Y51" s="46" t="s">
        <v>15</v>
      </c>
      <c r="Z51" s="46" t="s">
        <v>1</v>
      </c>
      <c r="AA51" s="49">
        <f>IF(C51="Plaza sin presupuesto",0,IF(W51="si",IF(X51=30,VLOOKUP(V51,'[1]Tablas despensa y pasaje 2018'!$A$3:$I$38,2,0),IF(PLANTILLA!X51=40,VLOOKUP(PLANTILLA!V51,'[1]Tablas despensa y pasaje 2018'!$A$3:$I$38,6,0))),IF(X51=30,VLOOKUP(V51,'[1]Tablas despensa y pasaje 2018'!$A$41:$I$48,2,0),IF(X51=40,VLOOKUP(V51,'[1]Tablas despensa y pasaje 2018'!$A$41:$I$48,6,0),0))))</f>
        <v>19032</v>
      </c>
      <c r="AB51" s="49">
        <f>IF(C51="Plaza sin presupuesto",0,IF(W51="si",IF(X51=30,VLOOKUP(V51,'[1]Tablas despensa y pasaje 2018'!$A$3:$I$38,3,0),IF(PLANTILLA!X51=40,VLOOKUP(PLANTILLA!V51,'[1]Tablas despensa y pasaje 2018'!$A$3:$I$38,7,0))),IF(X51=30,VLOOKUP(V51,'[1]Tablas despensa y pasaje 2018'!$A$41:$I$48,3,0),IF(X51=40,VLOOKUP(V51,'[1]Tablas despensa y pasaje 2018'!$A$41:$I$48,7,0),0))))</f>
        <v>1286</v>
      </c>
      <c r="AC51" s="49">
        <f>IF(C51="Plaza sin presupuesto",0,IF(W51="si",IF(X51=30,VLOOKUP(V51,'[1]Tablas despensa y pasaje 2018'!$A$3:$I$38,4,0),IF(PLANTILLA!X51=40,VLOOKUP(PLANTILLA!V51,'[1]Tablas despensa y pasaje 2018'!$A$3:$I$38,8,0))),IF(X51=30,VLOOKUP(V51,'[1]Tablas despensa y pasaje 2018'!$A$41:$I$48,4,0),IF(X51=40,VLOOKUP(V51,'[1]Tablas despensa y pasaje 2018'!$A$41:$I$48,8,0),0))))</f>
        <v>857</v>
      </c>
      <c r="AD51" s="49">
        <f t="shared" si="110"/>
        <v>0</v>
      </c>
      <c r="AE51" s="49">
        <f t="shared" si="111"/>
        <v>176.72</v>
      </c>
      <c r="AF51" s="49">
        <f t="shared" si="127"/>
        <v>9516</v>
      </c>
      <c r="AG51" s="49">
        <f t="shared" si="112"/>
        <v>31720</v>
      </c>
      <c r="AH51" s="49">
        <f t="shared" si="113"/>
        <v>3172</v>
      </c>
      <c r="AI51" s="49">
        <f t="shared" ref="AI51:AI84" si="128">AA51*$AH$2</f>
        <v>3330.6</v>
      </c>
      <c r="AJ51" s="49">
        <f t="shared" ref="AJ51:AJ84" si="129">AA51*$AI$2</f>
        <v>570.95999999999992</v>
      </c>
      <c r="AK51" s="49">
        <f t="shared" ref="AK51:AK84" si="130">AA51*$AJ$2</f>
        <v>380.64</v>
      </c>
      <c r="AL51" s="49">
        <f t="shared" ref="AL51:AL84" si="131">AA51*$AK$2</f>
        <v>913.53600000000006</v>
      </c>
      <c r="AM51" s="50">
        <f>IF((SUM(AA51:AE51)/2)=0,0,(((((SUM(AA51:AE51)/2)-(VLOOKUP((SUM(AA51:AE51)/2),'[1]Tablas ISR'!$A$4:$D$14,1,TRUE)))*(VLOOKUP((SUM(AA51:AE51)/2),'[1]Tablas ISR'!$A$4:$D$14,4,TRUE)))/100)+(VLOOKUP((SUM(AA51:AE51)/2),'[1]Tablas ISR'!$A$4:$D$14,3,TRUE)))*2)</f>
        <v>3284.3786400000004</v>
      </c>
      <c r="AN51" s="51">
        <f t="shared" ref="AN51:AN84" si="132">AA51*$AM$2</f>
        <v>2188.6800000000003</v>
      </c>
      <c r="AO51" s="49">
        <f t="shared" ref="AO51:AO84" si="133">AA51/2</f>
        <v>9516</v>
      </c>
      <c r="AP51" s="49">
        <f t="shared" ref="AP51:AP84" si="134">AB51/2</f>
        <v>643</v>
      </c>
      <c r="AQ51" s="49">
        <f t="shared" ref="AQ51:AQ84" si="135">AC51/2</f>
        <v>428.5</v>
      </c>
      <c r="AR51" s="49">
        <f t="shared" ref="AR51:AR84" si="136">AD51/2</f>
        <v>0</v>
      </c>
      <c r="AS51" s="49">
        <f t="shared" ref="AS51:AS84" si="137">AE51/2</f>
        <v>88.36</v>
      </c>
      <c r="AT51" s="49">
        <f t="shared" ref="AT51:AT84" si="138">AI51/2</f>
        <v>1665.3</v>
      </c>
      <c r="AU51" s="49">
        <f t="shared" ref="AU51:AU84" si="139">AJ51/2</f>
        <v>285.47999999999996</v>
      </c>
      <c r="AV51" s="49">
        <f t="shared" ref="AV51:AV84" si="140">AL51/2</f>
        <v>456.76800000000003</v>
      </c>
      <c r="AW51" s="52">
        <f t="shared" ref="AW51:AW84" si="141">(AA51+AB51+AC51+AD51+AE51-AM51-AN51)/2</f>
        <v>7939.3306800000009</v>
      </c>
      <c r="AX51" s="3">
        <f t="shared" ref="AX51:AX84" si="142">AA51/30</f>
        <v>634.4</v>
      </c>
      <c r="AY51" s="3">
        <f t="shared" ref="AY51:AY84" si="143">AB51/30</f>
        <v>42.866666666666667</v>
      </c>
      <c r="AZ51" s="3">
        <f t="shared" ref="AZ51:AZ84" si="144">AC51/30</f>
        <v>28.566666666666666</v>
      </c>
      <c r="BA51" s="3">
        <f t="shared" ref="BA51:BA84" si="145">AD51/30</f>
        <v>0</v>
      </c>
      <c r="BB51" s="3">
        <f t="shared" ref="BB51:BB84" si="146">AE51/30</f>
        <v>5.8906666666666663</v>
      </c>
      <c r="BC51" s="3">
        <f t="shared" ref="BC51:BC84" si="147">AF51/365</f>
        <v>26.07123287671233</v>
      </c>
      <c r="BD51" s="3">
        <f t="shared" ref="BD51:BD84" si="148">AG51/365</f>
        <v>86.904109589041099</v>
      </c>
      <c r="BE51" s="3">
        <f t="shared" ref="BE51:BE84" si="149">AH51/365</f>
        <v>8.6904109589041099</v>
      </c>
      <c r="BF51" s="3">
        <f t="shared" ref="BF51:BF84" si="150">AI51/30</f>
        <v>111.02</v>
      </c>
      <c r="BG51" s="3">
        <f t="shared" ref="BG51:BG84" si="151">AJ51/30</f>
        <v>19.031999999999996</v>
      </c>
      <c r="BH51" s="3">
        <f t="shared" ref="BH51:BH84" si="152">AK51/30</f>
        <v>12.687999999999999</v>
      </c>
      <c r="BI51" s="3">
        <f t="shared" ref="BI51:BI84" si="153">AL51/30</f>
        <v>30.451200000000004</v>
      </c>
      <c r="BJ51" s="3">
        <f t="shared" ref="BJ51:BJ84" si="154">AX51*30</f>
        <v>19032</v>
      </c>
      <c r="BK51" s="3">
        <f t="shared" ref="BK51:BK84" si="155">AY51*30</f>
        <v>1286</v>
      </c>
      <c r="BL51" s="3">
        <f t="shared" ref="BL51:BL84" si="156">AZ51*30</f>
        <v>857</v>
      </c>
      <c r="BM51" s="3">
        <f t="shared" ref="BM51:BM84" si="157">BA51*30</f>
        <v>0</v>
      </c>
      <c r="BN51" s="3">
        <f t="shared" ref="BN51:BN84" si="158">BB51*30</f>
        <v>176.72</v>
      </c>
      <c r="BO51" s="3">
        <f t="shared" ref="BO51:BO84" si="159">AF51/12</f>
        <v>793</v>
      </c>
      <c r="BP51" s="3">
        <f t="shared" ref="BP51:BP84" si="160">AG51/12</f>
        <v>2643.3333333333335</v>
      </c>
      <c r="BQ51" s="3">
        <f t="shared" ref="BQ51:BQ84" si="161">AH51/12</f>
        <v>264.33333333333331</v>
      </c>
      <c r="BR51" s="3">
        <f t="shared" ref="BR51:BR84" si="162">BF51*30</f>
        <v>3330.6</v>
      </c>
      <c r="BS51" s="3">
        <f t="shared" ref="BS51:BS84" si="163">BG51*30</f>
        <v>570.95999999999992</v>
      </c>
      <c r="BT51" s="3">
        <f t="shared" ref="BT51:BT84" si="164">BH51*30</f>
        <v>380.64</v>
      </c>
      <c r="BU51" s="3">
        <f t="shared" ref="BU51:BU84" si="165">BI51*30</f>
        <v>913.53600000000006</v>
      </c>
      <c r="BV51" s="53">
        <f t="shared" si="114"/>
        <v>228384</v>
      </c>
      <c r="BW51" s="53">
        <f t="shared" si="115"/>
        <v>15432</v>
      </c>
      <c r="BX51" s="53">
        <f t="shared" si="116"/>
        <v>10284</v>
      </c>
      <c r="BY51" s="53">
        <f t="shared" si="117"/>
        <v>0</v>
      </c>
      <c r="BZ51" s="53">
        <f t="shared" si="118"/>
        <v>2120.64</v>
      </c>
      <c r="CA51" s="53">
        <f t="shared" si="119"/>
        <v>9516</v>
      </c>
      <c r="CB51" s="53">
        <f t="shared" si="120"/>
        <v>31720</v>
      </c>
      <c r="CC51" s="53">
        <f t="shared" si="121"/>
        <v>3172</v>
      </c>
      <c r="CD51" s="53">
        <f t="shared" si="122"/>
        <v>39967.199999999997</v>
      </c>
      <c r="CE51" s="53">
        <f t="shared" si="123"/>
        <v>6851.5199999999986</v>
      </c>
      <c r="CF51" s="53">
        <f t="shared" si="124"/>
        <v>4567.68</v>
      </c>
      <c r="CG51" s="53">
        <f t="shared" si="125"/>
        <v>10962.432000000001</v>
      </c>
      <c r="CH51" s="54">
        <f t="shared" si="126"/>
        <v>362977.47200000007</v>
      </c>
      <c r="CI51" s="46"/>
      <c r="CJ51" s="46"/>
      <c r="CK51" s="46"/>
      <c r="CL51" s="46"/>
      <c r="CM51" s="46"/>
      <c r="CN51" s="46"/>
      <c r="CO51" s="46"/>
      <c r="CP51" s="46"/>
    </row>
    <row r="52" spans="1:94" ht="27" customHeight="1" x14ac:dyDescent="0.2">
      <c r="A52" s="8">
        <v>48</v>
      </c>
      <c r="B52" s="8">
        <v>677</v>
      </c>
      <c r="C52" s="43" t="s">
        <v>109</v>
      </c>
      <c r="D52" s="44" t="str">
        <f t="shared" si="102"/>
        <v>Ochoa</v>
      </c>
      <c r="E52" s="44" t="str">
        <f t="shared" si="103"/>
        <v xml:space="preserve">Valdovinos </v>
      </c>
      <c r="F52" s="44" t="str">
        <f t="shared" si="104"/>
        <v>Jose De Jesus</v>
      </c>
      <c r="G52" s="8">
        <v>3</v>
      </c>
      <c r="H52" s="8" t="s">
        <v>108</v>
      </c>
      <c r="I52" s="45" t="s">
        <v>107</v>
      </c>
      <c r="J52" s="45" t="s">
        <v>99</v>
      </c>
      <c r="K52" s="46" t="s">
        <v>6</v>
      </c>
      <c r="L52" s="46" t="s">
        <v>5</v>
      </c>
      <c r="M52" s="46" t="s">
        <v>91</v>
      </c>
      <c r="N52" s="47" t="str">
        <f>IF(H52&gt;0,MID(H52,9,2)&amp;"/"&amp;MID(H52,7,2)&amp;"/"&amp;MID(H52,5,2),0)</f>
        <v>19/12/77</v>
      </c>
      <c r="O52" s="48">
        <f t="shared" ca="1" si="105"/>
        <v>40</v>
      </c>
      <c r="P52" s="1">
        <v>41687</v>
      </c>
      <c r="Q52" s="2" t="str">
        <f t="shared" si="106"/>
        <v>4 años, 10 meses, 14 dias.</v>
      </c>
      <c r="R52" s="2">
        <f t="shared" si="107"/>
        <v>4</v>
      </c>
      <c r="S52" s="2">
        <f t="shared" si="108"/>
        <v>58</v>
      </c>
      <c r="T52" s="2">
        <f t="shared" si="109"/>
        <v>1778</v>
      </c>
      <c r="U52" s="46" t="s">
        <v>90</v>
      </c>
      <c r="V52" s="46">
        <v>17</v>
      </c>
      <c r="W52" s="46" t="s">
        <v>1</v>
      </c>
      <c r="X52" s="46">
        <v>40</v>
      </c>
      <c r="Y52" s="46" t="s">
        <v>15</v>
      </c>
      <c r="Z52" s="46" t="s">
        <v>1</v>
      </c>
      <c r="AA52" s="49">
        <f>IF(C52="Plaza sin presupuesto",0,IF(W52="si",IF(X52=30,VLOOKUP(V52,'[1]Tablas despensa y pasaje 2018'!$A$3:$I$38,2,0),IF(PLANTILLA!X52=40,VLOOKUP(PLANTILLA!V52,'[1]Tablas despensa y pasaje 2018'!$A$3:$I$38,6,0))),IF(X52=30,VLOOKUP(V52,'[1]Tablas despensa y pasaje 2018'!$A$41:$I$48,2,0),IF(X52=40,VLOOKUP(V52,'[1]Tablas despensa y pasaje 2018'!$A$41:$I$48,6,0),0))))</f>
        <v>19032</v>
      </c>
      <c r="AB52" s="49">
        <f>IF(C52="Plaza sin presupuesto",0,IF(W52="si",IF(X52=30,VLOOKUP(V52,'[1]Tablas despensa y pasaje 2018'!$A$3:$I$38,3,0),IF(PLANTILLA!X52=40,VLOOKUP(PLANTILLA!V52,'[1]Tablas despensa y pasaje 2018'!$A$3:$I$38,7,0))),IF(X52=30,VLOOKUP(V52,'[1]Tablas despensa y pasaje 2018'!$A$41:$I$48,3,0),IF(X52=40,VLOOKUP(V52,'[1]Tablas despensa y pasaje 2018'!$A$41:$I$48,7,0),0))))</f>
        <v>1286</v>
      </c>
      <c r="AC52" s="49">
        <f>IF(C52="Plaza sin presupuesto",0,IF(W52="si",IF(X52=30,VLOOKUP(V52,'[1]Tablas despensa y pasaje 2018'!$A$3:$I$38,4,0),IF(PLANTILLA!X52=40,VLOOKUP(PLANTILLA!V52,'[1]Tablas despensa y pasaje 2018'!$A$3:$I$38,8,0))),IF(X52=30,VLOOKUP(V52,'[1]Tablas despensa y pasaje 2018'!$A$41:$I$48,4,0),IF(X52=40,VLOOKUP(V52,'[1]Tablas despensa y pasaje 2018'!$A$41:$I$48,8,0),0))))</f>
        <v>857</v>
      </c>
      <c r="AD52" s="49">
        <f t="shared" si="110"/>
        <v>0</v>
      </c>
      <c r="AE52" s="49">
        <f t="shared" si="111"/>
        <v>0</v>
      </c>
      <c r="AF52" s="49">
        <f t="shared" si="127"/>
        <v>9516</v>
      </c>
      <c r="AG52" s="49">
        <f t="shared" si="112"/>
        <v>31720</v>
      </c>
      <c r="AH52" s="49">
        <f t="shared" si="113"/>
        <v>3172</v>
      </c>
      <c r="AI52" s="49">
        <f t="shared" si="128"/>
        <v>3330.6</v>
      </c>
      <c r="AJ52" s="49">
        <f t="shared" si="129"/>
        <v>570.95999999999992</v>
      </c>
      <c r="AK52" s="49">
        <f t="shared" si="130"/>
        <v>380.64</v>
      </c>
      <c r="AL52" s="49">
        <f t="shared" si="131"/>
        <v>913.53600000000006</v>
      </c>
      <c r="AM52" s="50">
        <f>IF((SUM(AA52:AE52)/2)=0,0,(((((SUM(AA52:AE52)/2)-(VLOOKUP((SUM(AA52:AE52)/2),'[1]Tablas ISR'!$A$4:$D$14,1,TRUE)))*(VLOOKUP((SUM(AA52:AE52)/2),'[1]Tablas ISR'!$A$4:$D$14,4,TRUE)))/100)+(VLOOKUP((SUM(AA52:AE52)/2),'[1]Tablas ISR'!$A$4:$D$14,3,TRUE)))*2)</f>
        <v>3246.6312479999997</v>
      </c>
      <c r="AN52" s="51">
        <f t="shared" si="132"/>
        <v>2188.6800000000003</v>
      </c>
      <c r="AO52" s="49">
        <f t="shared" si="133"/>
        <v>9516</v>
      </c>
      <c r="AP52" s="49">
        <f t="shared" si="134"/>
        <v>643</v>
      </c>
      <c r="AQ52" s="49">
        <f t="shared" si="135"/>
        <v>428.5</v>
      </c>
      <c r="AR52" s="49">
        <f t="shared" si="136"/>
        <v>0</v>
      </c>
      <c r="AS52" s="49">
        <f t="shared" si="137"/>
        <v>0</v>
      </c>
      <c r="AT52" s="49">
        <f t="shared" si="138"/>
        <v>1665.3</v>
      </c>
      <c r="AU52" s="49">
        <f t="shared" si="139"/>
        <v>285.47999999999996</v>
      </c>
      <c r="AV52" s="49">
        <f t="shared" si="140"/>
        <v>456.76800000000003</v>
      </c>
      <c r="AW52" s="52">
        <f t="shared" si="141"/>
        <v>7869.8443760000009</v>
      </c>
      <c r="AX52" s="3">
        <f t="shared" si="142"/>
        <v>634.4</v>
      </c>
      <c r="AY52" s="3">
        <f t="shared" si="143"/>
        <v>42.866666666666667</v>
      </c>
      <c r="AZ52" s="3">
        <f t="shared" si="144"/>
        <v>28.566666666666666</v>
      </c>
      <c r="BA52" s="3">
        <f t="shared" si="145"/>
        <v>0</v>
      </c>
      <c r="BB52" s="3">
        <f t="shared" si="146"/>
        <v>0</v>
      </c>
      <c r="BC52" s="3">
        <f t="shared" si="147"/>
        <v>26.07123287671233</v>
      </c>
      <c r="BD52" s="3">
        <f t="shared" si="148"/>
        <v>86.904109589041099</v>
      </c>
      <c r="BE52" s="3">
        <f t="shared" si="149"/>
        <v>8.6904109589041099</v>
      </c>
      <c r="BF52" s="3">
        <f t="shared" si="150"/>
        <v>111.02</v>
      </c>
      <c r="BG52" s="3">
        <f t="shared" si="151"/>
        <v>19.031999999999996</v>
      </c>
      <c r="BH52" s="3">
        <f t="shared" si="152"/>
        <v>12.687999999999999</v>
      </c>
      <c r="BI52" s="3">
        <f t="shared" si="153"/>
        <v>30.451200000000004</v>
      </c>
      <c r="BJ52" s="3">
        <f t="shared" si="154"/>
        <v>19032</v>
      </c>
      <c r="BK52" s="3">
        <f t="shared" si="155"/>
        <v>1286</v>
      </c>
      <c r="BL52" s="3">
        <f t="shared" si="156"/>
        <v>857</v>
      </c>
      <c r="BM52" s="3">
        <f t="shared" si="157"/>
        <v>0</v>
      </c>
      <c r="BN52" s="3">
        <f t="shared" si="158"/>
        <v>0</v>
      </c>
      <c r="BO52" s="3">
        <f t="shared" si="159"/>
        <v>793</v>
      </c>
      <c r="BP52" s="3">
        <f t="shared" si="160"/>
        <v>2643.3333333333335</v>
      </c>
      <c r="BQ52" s="3">
        <f t="shared" si="161"/>
        <v>264.33333333333331</v>
      </c>
      <c r="BR52" s="3">
        <f t="shared" si="162"/>
        <v>3330.6</v>
      </c>
      <c r="BS52" s="3">
        <f t="shared" si="163"/>
        <v>570.95999999999992</v>
      </c>
      <c r="BT52" s="3">
        <f t="shared" si="164"/>
        <v>380.64</v>
      </c>
      <c r="BU52" s="3">
        <f t="shared" si="165"/>
        <v>913.53600000000006</v>
      </c>
      <c r="BV52" s="53">
        <f t="shared" si="114"/>
        <v>228384</v>
      </c>
      <c r="BW52" s="53">
        <f t="shared" si="115"/>
        <v>15432</v>
      </c>
      <c r="BX52" s="53">
        <f t="shared" si="116"/>
        <v>10284</v>
      </c>
      <c r="BY52" s="53">
        <f t="shared" si="117"/>
        <v>0</v>
      </c>
      <c r="BZ52" s="53">
        <f t="shared" si="118"/>
        <v>0</v>
      </c>
      <c r="CA52" s="53">
        <f t="shared" si="119"/>
        <v>9516</v>
      </c>
      <c r="CB52" s="53">
        <f t="shared" si="120"/>
        <v>31720</v>
      </c>
      <c r="CC52" s="53">
        <f t="shared" si="121"/>
        <v>3172</v>
      </c>
      <c r="CD52" s="53">
        <f t="shared" si="122"/>
        <v>39967.199999999997</v>
      </c>
      <c r="CE52" s="53">
        <f t="shared" si="123"/>
        <v>6851.5199999999986</v>
      </c>
      <c r="CF52" s="53">
        <f t="shared" si="124"/>
        <v>4567.68</v>
      </c>
      <c r="CG52" s="53">
        <f t="shared" si="125"/>
        <v>10962.432000000001</v>
      </c>
      <c r="CH52" s="54">
        <f t="shared" si="126"/>
        <v>360856.83200000005</v>
      </c>
      <c r="CI52" s="46"/>
      <c r="CJ52" s="46"/>
      <c r="CK52" s="46"/>
      <c r="CL52" s="46"/>
      <c r="CM52" s="46"/>
      <c r="CN52" s="46"/>
      <c r="CO52" s="46"/>
      <c r="CP52" s="46"/>
    </row>
    <row r="53" spans="1:94" ht="27" customHeight="1" x14ac:dyDescent="0.2">
      <c r="A53" s="8">
        <v>49</v>
      </c>
      <c r="B53" s="8">
        <v>678</v>
      </c>
      <c r="C53" s="43" t="s">
        <v>106</v>
      </c>
      <c r="D53" s="44" t="str">
        <f t="shared" si="102"/>
        <v>Sanchez</v>
      </c>
      <c r="E53" s="44" t="str">
        <f t="shared" si="103"/>
        <v xml:space="preserve">Guzman </v>
      </c>
      <c r="F53" s="44" t="str">
        <f t="shared" si="104"/>
        <v>Paloma Anayansi</v>
      </c>
      <c r="G53" s="8">
        <v>3</v>
      </c>
      <c r="H53" s="8" t="s">
        <v>105</v>
      </c>
      <c r="I53" s="45" t="s">
        <v>104</v>
      </c>
      <c r="J53" s="45" t="s">
        <v>99</v>
      </c>
      <c r="K53" s="46" t="s">
        <v>6</v>
      </c>
      <c r="L53" s="46" t="s">
        <v>17</v>
      </c>
      <c r="M53" s="46" t="s">
        <v>30</v>
      </c>
      <c r="N53" s="47" t="str">
        <f>IF(H53&gt;0,MID(H53,9,2)&amp;"/"&amp;MID(H53,7,2)&amp;"/"&amp;MID(H53,5,2),0)</f>
        <v>18/07/80</v>
      </c>
      <c r="O53" s="48">
        <f t="shared" ca="1" si="105"/>
        <v>37</v>
      </c>
      <c r="P53" s="1">
        <v>41836</v>
      </c>
      <c r="Q53" s="2" t="str">
        <f t="shared" si="106"/>
        <v>4 años, 5 meses, 15 dias.</v>
      </c>
      <c r="R53" s="2">
        <f t="shared" si="107"/>
        <v>4</v>
      </c>
      <c r="S53" s="2">
        <f t="shared" si="108"/>
        <v>53</v>
      </c>
      <c r="T53" s="2">
        <f t="shared" si="109"/>
        <v>1629</v>
      </c>
      <c r="U53" s="46" t="s">
        <v>3</v>
      </c>
      <c r="V53" s="46">
        <v>17</v>
      </c>
      <c r="W53" s="46" t="s">
        <v>1</v>
      </c>
      <c r="X53" s="46">
        <v>40</v>
      </c>
      <c r="Y53" s="46" t="s">
        <v>15</v>
      </c>
      <c r="Z53" s="46" t="s">
        <v>1</v>
      </c>
      <c r="AA53" s="49">
        <f>IF(C53="Plaza sin presupuesto",0,IF(W53="si",IF(X53=30,VLOOKUP(V53,'[1]Tablas despensa y pasaje 2018'!$A$3:$I$38,2,0),IF(PLANTILLA!X53=40,VLOOKUP(PLANTILLA!V53,'[1]Tablas despensa y pasaje 2018'!$A$3:$I$38,6,0))),IF(X53=30,VLOOKUP(V53,'[1]Tablas despensa y pasaje 2018'!$A$41:$I$48,2,0),IF(X53=40,VLOOKUP(V53,'[1]Tablas despensa y pasaje 2018'!$A$41:$I$48,6,0),0))))</f>
        <v>19032</v>
      </c>
      <c r="AB53" s="49">
        <f>IF(C53="Plaza sin presupuesto",0,IF(W53="si",IF(X53=30,VLOOKUP(V53,'[1]Tablas despensa y pasaje 2018'!$A$3:$I$38,3,0),IF(PLANTILLA!X53=40,VLOOKUP(PLANTILLA!V53,'[1]Tablas despensa y pasaje 2018'!$A$3:$I$38,7,0))),IF(X53=30,VLOOKUP(V53,'[1]Tablas despensa y pasaje 2018'!$A$41:$I$48,3,0),IF(X53=40,VLOOKUP(V53,'[1]Tablas despensa y pasaje 2018'!$A$41:$I$48,7,0),0))))</f>
        <v>1286</v>
      </c>
      <c r="AC53" s="49">
        <f>IF(C53="Plaza sin presupuesto",0,IF(W53="si",IF(X53=30,VLOOKUP(V53,'[1]Tablas despensa y pasaje 2018'!$A$3:$I$38,4,0),IF(PLANTILLA!X53=40,VLOOKUP(PLANTILLA!V53,'[1]Tablas despensa y pasaje 2018'!$A$3:$I$38,8,0))),IF(X53=30,VLOOKUP(V53,'[1]Tablas despensa y pasaje 2018'!$A$41:$I$48,4,0),IF(X53=40,VLOOKUP(V53,'[1]Tablas despensa y pasaje 2018'!$A$41:$I$48,8,0),0))))</f>
        <v>857</v>
      </c>
      <c r="AD53" s="49">
        <f t="shared" si="110"/>
        <v>0</v>
      </c>
      <c r="AE53" s="49">
        <f t="shared" si="111"/>
        <v>0</v>
      </c>
      <c r="AF53" s="49">
        <f t="shared" si="127"/>
        <v>9516</v>
      </c>
      <c r="AG53" s="49">
        <f t="shared" si="112"/>
        <v>31720</v>
      </c>
      <c r="AH53" s="49">
        <f t="shared" si="113"/>
        <v>3172</v>
      </c>
      <c r="AI53" s="49">
        <f t="shared" si="128"/>
        <v>3330.6</v>
      </c>
      <c r="AJ53" s="49">
        <f t="shared" si="129"/>
        <v>570.95999999999992</v>
      </c>
      <c r="AK53" s="49">
        <f t="shared" si="130"/>
        <v>380.64</v>
      </c>
      <c r="AL53" s="49">
        <f t="shared" si="131"/>
        <v>913.53600000000006</v>
      </c>
      <c r="AM53" s="50">
        <f>IF((SUM(AA53:AE53)/2)=0,0,(((((SUM(AA53:AE53)/2)-(VLOOKUP((SUM(AA53:AE53)/2),'[1]Tablas ISR'!$A$4:$D$14,1,TRUE)))*(VLOOKUP((SUM(AA53:AE53)/2),'[1]Tablas ISR'!$A$4:$D$14,4,TRUE)))/100)+(VLOOKUP((SUM(AA53:AE53)/2),'[1]Tablas ISR'!$A$4:$D$14,3,TRUE)))*2)</f>
        <v>3246.6312479999997</v>
      </c>
      <c r="AN53" s="51">
        <f t="shared" si="132"/>
        <v>2188.6800000000003</v>
      </c>
      <c r="AO53" s="49">
        <f t="shared" si="133"/>
        <v>9516</v>
      </c>
      <c r="AP53" s="49">
        <f t="shared" si="134"/>
        <v>643</v>
      </c>
      <c r="AQ53" s="49">
        <f t="shared" si="135"/>
        <v>428.5</v>
      </c>
      <c r="AR53" s="49">
        <f t="shared" si="136"/>
        <v>0</v>
      </c>
      <c r="AS53" s="49">
        <f t="shared" si="137"/>
        <v>0</v>
      </c>
      <c r="AT53" s="49">
        <f t="shared" si="138"/>
        <v>1665.3</v>
      </c>
      <c r="AU53" s="49">
        <f t="shared" si="139"/>
        <v>285.47999999999996</v>
      </c>
      <c r="AV53" s="49">
        <f t="shared" si="140"/>
        <v>456.76800000000003</v>
      </c>
      <c r="AW53" s="52">
        <f t="shared" si="141"/>
        <v>7869.8443760000009</v>
      </c>
      <c r="AX53" s="3">
        <f t="shared" si="142"/>
        <v>634.4</v>
      </c>
      <c r="AY53" s="3">
        <f t="shared" si="143"/>
        <v>42.866666666666667</v>
      </c>
      <c r="AZ53" s="3">
        <f t="shared" si="144"/>
        <v>28.566666666666666</v>
      </c>
      <c r="BA53" s="3">
        <f t="shared" si="145"/>
        <v>0</v>
      </c>
      <c r="BB53" s="3">
        <f t="shared" si="146"/>
        <v>0</v>
      </c>
      <c r="BC53" s="3">
        <f t="shared" si="147"/>
        <v>26.07123287671233</v>
      </c>
      <c r="BD53" s="3">
        <f t="shared" si="148"/>
        <v>86.904109589041099</v>
      </c>
      <c r="BE53" s="3">
        <f t="shared" si="149"/>
        <v>8.6904109589041099</v>
      </c>
      <c r="BF53" s="3">
        <f t="shared" si="150"/>
        <v>111.02</v>
      </c>
      <c r="BG53" s="3">
        <f t="shared" si="151"/>
        <v>19.031999999999996</v>
      </c>
      <c r="BH53" s="3">
        <f t="shared" si="152"/>
        <v>12.687999999999999</v>
      </c>
      <c r="BI53" s="3">
        <f t="shared" si="153"/>
        <v>30.451200000000004</v>
      </c>
      <c r="BJ53" s="3">
        <f t="shared" si="154"/>
        <v>19032</v>
      </c>
      <c r="BK53" s="3">
        <f t="shared" si="155"/>
        <v>1286</v>
      </c>
      <c r="BL53" s="3">
        <f t="shared" si="156"/>
        <v>857</v>
      </c>
      <c r="BM53" s="3">
        <f t="shared" si="157"/>
        <v>0</v>
      </c>
      <c r="BN53" s="3">
        <f t="shared" si="158"/>
        <v>0</v>
      </c>
      <c r="BO53" s="3">
        <f t="shared" si="159"/>
        <v>793</v>
      </c>
      <c r="BP53" s="3">
        <f t="shared" si="160"/>
        <v>2643.3333333333335</v>
      </c>
      <c r="BQ53" s="3">
        <f t="shared" si="161"/>
        <v>264.33333333333331</v>
      </c>
      <c r="BR53" s="3">
        <f t="shared" si="162"/>
        <v>3330.6</v>
      </c>
      <c r="BS53" s="3">
        <f t="shared" si="163"/>
        <v>570.95999999999992</v>
      </c>
      <c r="BT53" s="3">
        <f t="shared" si="164"/>
        <v>380.64</v>
      </c>
      <c r="BU53" s="3">
        <f t="shared" si="165"/>
        <v>913.53600000000006</v>
      </c>
      <c r="BV53" s="53">
        <f t="shared" si="114"/>
        <v>228384</v>
      </c>
      <c r="BW53" s="53">
        <f t="shared" si="115"/>
        <v>15432</v>
      </c>
      <c r="BX53" s="53">
        <f t="shared" si="116"/>
        <v>10284</v>
      </c>
      <c r="BY53" s="53">
        <f t="shared" si="117"/>
        <v>0</v>
      </c>
      <c r="BZ53" s="53">
        <f t="shared" si="118"/>
        <v>0</v>
      </c>
      <c r="CA53" s="53">
        <f t="shared" si="119"/>
        <v>9516</v>
      </c>
      <c r="CB53" s="53">
        <f t="shared" si="120"/>
        <v>31720</v>
      </c>
      <c r="CC53" s="53">
        <f t="shared" si="121"/>
        <v>3172</v>
      </c>
      <c r="CD53" s="53">
        <f t="shared" si="122"/>
        <v>39967.199999999997</v>
      </c>
      <c r="CE53" s="53">
        <f t="shared" si="123"/>
        <v>6851.5199999999986</v>
      </c>
      <c r="CF53" s="53">
        <f t="shared" si="124"/>
        <v>4567.68</v>
      </c>
      <c r="CG53" s="53">
        <f t="shared" si="125"/>
        <v>10962.432000000001</v>
      </c>
      <c r="CH53" s="54">
        <f t="shared" si="126"/>
        <v>360856.83200000005</v>
      </c>
      <c r="CI53" s="46"/>
      <c r="CJ53" s="46"/>
      <c r="CK53" s="46"/>
      <c r="CL53" s="46"/>
      <c r="CM53" s="46"/>
      <c r="CN53" s="46"/>
      <c r="CO53" s="46"/>
      <c r="CP53" s="46"/>
    </row>
    <row r="54" spans="1:94" ht="27" customHeight="1" x14ac:dyDescent="0.2">
      <c r="A54" s="8">
        <v>50</v>
      </c>
      <c r="B54" s="8">
        <v>679</v>
      </c>
      <c r="C54" s="43" t="s">
        <v>103</v>
      </c>
      <c r="D54" s="44" t="str">
        <f t="shared" si="102"/>
        <v>Fausto</v>
      </c>
      <c r="E54" s="44" t="str">
        <f t="shared" si="103"/>
        <v xml:space="preserve">Ortiz </v>
      </c>
      <c r="F54" s="44" t="str">
        <f t="shared" si="104"/>
        <v>Sandra</v>
      </c>
      <c r="G54" s="8">
        <v>4</v>
      </c>
      <c r="H54" s="8" t="s">
        <v>102</v>
      </c>
      <c r="I54" s="45" t="s">
        <v>45</v>
      </c>
      <c r="J54" s="45" t="s">
        <v>99</v>
      </c>
      <c r="K54" s="46" t="s">
        <v>12</v>
      </c>
      <c r="L54" s="46" t="s">
        <v>17</v>
      </c>
      <c r="M54" s="46" t="s">
        <v>4</v>
      </c>
      <c r="N54" s="47" t="str">
        <f>IF(H54&gt;0,MID(H54,9,2)&amp;"/"&amp;MID(H54,7,2)&amp;"/"&amp;MID(H54,5,2),0)</f>
        <v>16/01/72</v>
      </c>
      <c r="O54" s="48">
        <f t="shared" ca="1" si="105"/>
        <v>46</v>
      </c>
      <c r="P54" s="1">
        <v>34029</v>
      </c>
      <c r="Q54" s="2" t="str">
        <f t="shared" si="106"/>
        <v>25 años, 9 meses, 30 dias.</v>
      </c>
      <c r="R54" s="2">
        <f t="shared" si="107"/>
        <v>25</v>
      </c>
      <c r="S54" s="2">
        <f t="shared" si="108"/>
        <v>309</v>
      </c>
      <c r="T54" s="2">
        <f t="shared" si="109"/>
        <v>9436</v>
      </c>
      <c r="U54" s="46" t="s">
        <v>90</v>
      </c>
      <c r="V54" s="46">
        <v>13</v>
      </c>
      <c r="W54" s="46" t="s">
        <v>1</v>
      </c>
      <c r="X54" s="46">
        <v>40</v>
      </c>
      <c r="Y54" s="46" t="s">
        <v>2</v>
      </c>
      <c r="Z54" s="46" t="s">
        <v>16</v>
      </c>
      <c r="AA54" s="49">
        <f>IF(C54="Plaza sin presupuesto",0,IF(W54="si",IF(X54=30,VLOOKUP(V54,'[1]Tablas despensa y pasaje 2018'!$A$3:$I$38,2,0),IF(PLANTILLA!X54=40,VLOOKUP(PLANTILLA!V54,'[1]Tablas despensa y pasaje 2018'!$A$3:$I$38,6,0))),IF(X54=30,VLOOKUP(V54,'[1]Tablas despensa y pasaje 2018'!$A$41:$I$48,2,0),IF(X54=40,VLOOKUP(V54,'[1]Tablas despensa y pasaje 2018'!$A$41:$I$48,6,0),0))))</f>
        <v>13714</v>
      </c>
      <c r="AB54" s="49">
        <f>IF(C54="Plaza sin presupuesto",0,IF(W54="si",IF(X54=30,VLOOKUP(V54,'[1]Tablas despensa y pasaje 2018'!$A$3:$I$38,3,0),IF(PLANTILLA!X54=40,VLOOKUP(PLANTILLA!V54,'[1]Tablas despensa y pasaje 2018'!$A$3:$I$38,7,0))),IF(X54=30,VLOOKUP(V54,'[1]Tablas despensa y pasaje 2018'!$A$41:$I$48,3,0),IF(X54=40,VLOOKUP(V54,'[1]Tablas despensa y pasaje 2018'!$A$41:$I$48,7,0),0))))</f>
        <v>1128</v>
      </c>
      <c r="AC54" s="49">
        <f>IF(C54="Plaza sin presupuesto",0,IF(W54="si",IF(X54=30,VLOOKUP(V54,'[1]Tablas despensa y pasaje 2018'!$A$3:$I$38,4,0),IF(PLANTILLA!X54=40,VLOOKUP(PLANTILLA!V54,'[1]Tablas despensa y pasaje 2018'!$A$3:$I$38,8,0))),IF(X54=30,VLOOKUP(V54,'[1]Tablas despensa y pasaje 2018'!$A$41:$I$48,4,0),IF(X54=40,VLOOKUP(V54,'[1]Tablas despensa y pasaje 2018'!$A$41:$I$48,8,0),0))))</f>
        <v>703</v>
      </c>
      <c r="AD54" s="49">
        <f t="shared" si="110"/>
        <v>411.41999999999996</v>
      </c>
      <c r="AE54" s="49">
        <f t="shared" si="111"/>
        <v>530.16</v>
      </c>
      <c r="AF54" s="49">
        <f t="shared" si="127"/>
        <v>8243.2900000000009</v>
      </c>
      <c r="AG54" s="49">
        <f t="shared" si="112"/>
        <v>22856.666666666668</v>
      </c>
      <c r="AH54" s="49">
        <f t="shared" si="113"/>
        <v>2285.6666666666665</v>
      </c>
      <c r="AI54" s="49">
        <f t="shared" si="128"/>
        <v>2399.9499999999998</v>
      </c>
      <c r="AJ54" s="49">
        <f t="shared" si="129"/>
        <v>411.41999999999996</v>
      </c>
      <c r="AK54" s="49">
        <f t="shared" si="130"/>
        <v>274.28000000000003</v>
      </c>
      <c r="AL54" s="49">
        <f t="shared" si="131"/>
        <v>658.27200000000005</v>
      </c>
      <c r="AM54" s="50">
        <f>IF((SUM(AA54:AE54)/2)=0,0,(((((SUM(AA54:AE54)/2)-(VLOOKUP((SUM(AA54:AE54)/2),'[1]Tablas ISR'!$A$4:$D$14,1,TRUE)))*(VLOOKUP((SUM(AA54:AE54)/2),'[1]Tablas ISR'!$A$4:$D$14,4,TRUE)))/100)+(VLOOKUP((SUM(AA54:AE54)/2),'[1]Tablas ISR'!$A$4:$D$14,3,TRUE)))*2)</f>
        <v>2245.1847360000006</v>
      </c>
      <c r="AN54" s="51">
        <f t="shared" si="132"/>
        <v>1577.1100000000001</v>
      </c>
      <c r="AO54" s="49">
        <f t="shared" si="133"/>
        <v>6857</v>
      </c>
      <c r="AP54" s="49">
        <f t="shared" si="134"/>
        <v>564</v>
      </c>
      <c r="AQ54" s="49">
        <f t="shared" si="135"/>
        <v>351.5</v>
      </c>
      <c r="AR54" s="49">
        <f t="shared" si="136"/>
        <v>205.70999999999998</v>
      </c>
      <c r="AS54" s="49">
        <f t="shared" si="137"/>
        <v>265.08</v>
      </c>
      <c r="AT54" s="49">
        <f t="shared" si="138"/>
        <v>1199.9749999999999</v>
      </c>
      <c r="AU54" s="49">
        <f t="shared" si="139"/>
        <v>205.70999999999998</v>
      </c>
      <c r="AV54" s="49">
        <f t="shared" si="140"/>
        <v>329.13600000000002</v>
      </c>
      <c r="AW54" s="52">
        <f t="shared" si="141"/>
        <v>6332.142632</v>
      </c>
      <c r="AX54" s="3">
        <f t="shared" si="142"/>
        <v>457.13333333333333</v>
      </c>
      <c r="AY54" s="3">
        <f t="shared" si="143"/>
        <v>37.6</v>
      </c>
      <c r="AZ54" s="3">
        <f t="shared" si="144"/>
        <v>23.433333333333334</v>
      </c>
      <c r="BA54" s="3">
        <f t="shared" si="145"/>
        <v>13.713999999999999</v>
      </c>
      <c r="BB54" s="3">
        <f t="shared" si="146"/>
        <v>17.672000000000001</v>
      </c>
      <c r="BC54" s="3">
        <f t="shared" si="147"/>
        <v>22.584356164383564</v>
      </c>
      <c r="BD54" s="3">
        <f t="shared" si="148"/>
        <v>62.621004566210047</v>
      </c>
      <c r="BE54" s="3">
        <f t="shared" si="149"/>
        <v>6.2621004566210043</v>
      </c>
      <c r="BF54" s="3">
        <f t="shared" si="150"/>
        <v>79.998333333333321</v>
      </c>
      <c r="BG54" s="3">
        <f t="shared" si="151"/>
        <v>13.713999999999999</v>
      </c>
      <c r="BH54" s="3">
        <f t="shared" si="152"/>
        <v>9.1426666666666669</v>
      </c>
      <c r="BI54" s="3">
        <f t="shared" si="153"/>
        <v>21.942400000000003</v>
      </c>
      <c r="BJ54" s="3">
        <f t="shared" si="154"/>
        <v>13714</v>
      </c>
      <c r="BK54" s="3">
        <f t="shared" si="155"/>
        <v>1128</v>
      </c>
      <c r="BL54" s="3">
        <f t="shared" si="156"/>
        <v>703</v>
      </c>
      <c r="BM54" s="3">
        <f t="shared" si="157"/>
        <v>411.41999999999996</v>
      </c>
      <c r="BN54" s="3">
        <f t="shared" si="158"/>
        <v>530.16</v>
      </c>
      <c r="BO54" s="3">
        <f t="shared" si="159"/>
        <v>686.94083333333344</v>
      </c>
      <c r="BP54" s="3">
        <f t="shared" si="160"/>
        <v>1904.7222222222224</v>
      </c>
      <c r="BQ54" s="3">
        <f t="shared" si="161"/>
        <v>190.4722222222222</v>
      </c>
      <c r="BR54" s="3">
        <f t="shared" si="162"/>
        <v>2399.9499999999998</v>
      </c>
      <c r="BS54" s="3">
        <f t="shared" si="163"/>
        <v>411.41999999999996</v>
      </c>
      <c r="BT54" s="3">
        <f t="shared" si="164"/>
        <v>274.28000000000003</v>
      </c>
      <c r="BU54" s="3">
        <f t="shared" si="165"/>
        <v>658.27200000000005</v>
      </c>
      <c r="BV54" s="53">
        <f t="shared" si="114"/>
        <v>164568</v>
      </c>
      <c r="BW54" s="53">
        <f t="shared" si="115"/>
        <v>13536</v>
      </c>
      <c r="BX54" s="53">
        <f t="shared" si="116"/>
        <v>8436</v>
      </c>
      <c r="BY54" s="53">
        <f t="shared" si="117"/>
        <v>4937.0399999999991</v>
      </c>
      <c r="BZ54" s="53">
        <f t="shared" si="118"/>
        <v>6361.92</v>
      </c>
      <c r="CA54" s="53">
        <f t="shared" si="119"/>
        <v>8243.2900000000009</v>
      </c>
      <c r="CB54" s="53">
        <f t="shared" si="120"/>
        <v>22856.666666666668</v>
      </c>
      <c r="CC54" s="53">
        <f t="shared" si="121"/>
        <v>2285.6666666666665</v>
      </c>
      <c r="CD54" s="53">
        <f t="shared" si="122"/>
        <v>28799.399999999998</v>
      </c>
      <c r="CE54" s="53">
        <f t="shared" si="123"/>
        <v>4937.0399999999991</v>
      </c>
      <c r="CF54" s="53">
        <f t="shared" si="124"/>
        <v>3291.3600000000006</v>
      </c>
      <c r="CG54" s="53">
        <f t="shared" si="125"/>
        <v>7899.264000000001</v>
      </c>
      <c r="CH54" s="54">
        <f t="shared" si="126"/>
        <v>276151.64733333333</v>
      </c>
      <c r="CI54" s="46"/>
      <c r="CJ54" s="46"/>
      <c r="CK54" s="46"/>
      <c r="CL54" s="46"/>
      <c r="CM54" s="46"/>
      <c r="CN54" s="46"/>
      <c r="CO54" s="46"/>
      <c r="CP54" s="46"/>
    </row>
    <row r="55" spans="1:94" ht="27" customHeight="1" x14ac:dyDescent="0.2">
      <c r="A55" s="8">
        <v>51</v>
      </c>
      <c r="B55" s="8">
        <v>680</v>
      </c>
      <c r="C55" s="43" t="s">
        <v>101</v>
      </c>
      <c r="D55" s="44" t="str">
        <f t="shared" si="102"/>
        <v>Vazquez</v>
      </c>
      <c r="E55" s="44" t="str">
        <f t="shared" si="103"/>
        <v xml:space="preserve">Gutierrez </v>
      </c>
      <c r="F55" s="44" t="str">
        <f t="shared" si="104"/>
        <v>Ines</v>
      </c>
      <c r="G55" s="8">
        <v>3</v>
      </c>
      <c r="H55" s="8" t="s">
        <v>100</v>
      </c>
      <c r="I55" s="45" t="s">
        <v>45</v>
      </c>
      <c r="J55" s="45" t="s">
        <v>99</v>
      </c>
      <c r="K55" s="46" t="s">
        <v>12</v>
      </c>
      <c r="L55" s="46" t="s">
        <v>17</v>
      </c>
      <c r="M55" s="46" t="s">
        <v>22</v>
      </c>
      <c r="N55" s="47" t="str">
        <f>IF(H55&gt;0,MID(H55,9,2)&amp;"/"&amp;MID(H55,7,2)&amp;"/"&amp;MID(H55,5,2),0)</f>
        <v>30/05/77</v>
      </c>
      <c r="O55" s="48">
        <f t="shared" ca="1" si="105"/>
        <v>40</v>
      </c>
      <c r="P55" s="1">
        <v>36586</v>
      </c>
      <c r="Q55" s="2" t="str">
        <f t="shared" si="106"/>
        <v>18 años, 9 meses, 30 dias.</v>
      </c>
      <c r="R55" s="2">
        <f t="shared" si="107"/>
        <v>18</v>
      </c>
      <c r="S55" s="2">
        <f t="shared" si="108"/>
        <v>225</v>
      </c>
      <c r="T55" s="2">
        <f t="shared" si="109"/>
        <v>6879</v>
      </c>
      <c r="U55" s="46" t="s">
        <v>90</v>
      </c>
      <c r="V55" s="46">
        <v>13</v>
      </c>
      <c r="W55" s="46" t="s">
        <v>1</v>
      </c>
      <c r="X55" s="46">
        <v>40</v>
      </c>
      <c r="Y55" s="46" t="s">
        <v>2</v>
      </c>
      <c r="Z55" s="46" t="s">
        <v>16</v>
      </c>
      <c r="AA55" s="49">
        <f>IF(C55="Plaza sin presupuesto",0,IF(W55="si",IF(X55=30,VLOOKUP(V55,'[1]Tablas despensa y pasaje 2018'!$A$3:$I$38,2,0),IF(PLANTILLA!X55=40,VLOOKUP(PLANTILLA!V55,'[1]Tablas despensa y pasaje 2018'!$A$3:$I$38,6,0))),IF(X55=30,VLOOKUP(V55,'[1]Tablas despensa y pasaje 2018'!$A$41:$I$48,2,0),IF(X55=40,VLOOKUP(V55,'[1]Tablas despensa y pasaje 2018'!$A$41:$I$48,6,0),0))))</f>
        <v>13714</v>
      </c>
      <c r="AB55" s="49">
        <f>IF(C55="Plaza sin presupuesto",0,IF(W55="si",IF(X55=30,VLOOKUP(V55,'[1]Tablas despensa y pasaje 2018'!$A$3:$I$38,3,0),IF(PLANTILLA!X55=40,VLOOKUP(PLANTILLA!V55,'[1]Tablas despensa y pasaje 2018'!$A$3:$I$38,7,0))),IF(X55=30,VLOOKUP(V55,'[1]Tablas despensa y pasaje 2018'!$A$41:$I$48,3,0),IF(X55=40,VLOOKUP(V55,'[1]Tablas despensa y pasaje 2018'!$A$41:$I$48,7,0),0))))</f>
        <v>1128</v>
      </c>
      <c r="AC55" s="49">
        <f>IF(C55="Plaza sin presupuesto",0,IF(W55="si",IF(X55=30,VLOOKUP(V55,'[1]Tablas despensa y pasaje 2018'!$A$3:$I$38,4,0),IF(PLANTILLA!X55=40,VLOOKUP(PLANTILLA!V55,'[1]Tablas despensa y pasaje 2018'!$A$3:$I$38,8,0))),IF(X55=30,VLOOKUP(V55,'[1]Tablas despensa y pasaje 2018'!$A$41:$I$48,4,0),IF(X55=40,VLOOKUP(V55,'[1]Tablas despensa y pasaje 2018'!$A$41:$I$48,8,0),0))))</f>
        <v>703</v>
      </c>
      <c r="AD55" s="49">
        <f t="shared" si="110"/>
        <v>411.41999999999996</v>
      </c>
      <c r="AE55" s="49">
        <f t="shared" si="111"/>
        <v>353.44</v>
      </c>
      <c r="AF55" s="49">
        <f t="shared" si="127"/>
        <v>8154.93</v>
      </c>
      <c r="AG55" s="49">
        <f t="shared" si="112"/>
        <v>22856.666666666668</v>
      </c>
      <c r="AH55" s="49">
        <f t="shared" si="113"/>
        <v>2285.6666666666665</v>
      </c>
      <c r="AI55" s="49">
        <f t="shared" si="128"/>
        <v>2399.9499999999998</v>
      </c>
      <c r="AJ55" s="49">
        <f t="shared" si="129"/>
        <v>411.41999999999996</v>
      </c>
      <c r="AK55" s="49">
        <f t="shared" si="130"/>
        <v>274.28000000000003</v>
      </c>
      <c r="AL55" s="49">
        <f t="shared" si="131"/>
        <v>658.27200000000005</v>
      </c>
      <c r="AM55" s="50">
        <f>IF((SUM(AA55:AE55)/2)=0,0,(((((SUM(AA55:AE55)/2)-(VLOOKUP((SUM(AA55:AE55)/2),'[1]Tablas ISR'!$A$4:$D$14,1,TRUE)))*(VLOOKUP((SUM(AA55:AE55)/2),'[1]Tablas ISR'!$A$4:$D$14,4,TRUE)))/100)+(VLOOKUP((SUM(AA55:AE55)/2),'[1]Tablas ISR'!$A$4:$D$14,3,TRUE)))*2)</f>
        <v>2207.4373439999999</v>
      </c>
      <c r="AN55" s="51">
        <f t="shared" si="132"/>
        <v>1577.1100000000001</v>
      </c>
      <c r="AO55" s="49">
        <f t="shared" si="133"/>
        <v>6857</v>
      </c>
      <c r="AP55" s="49">
        <f t="shared" si="134"/>
        <v>564</v>
      </c>
      <c r="AQ55" s="49">
        <f t="shared" si="135"/>
        <v>351.5</v>
      </c>
      <c r="AR55" s="49">
        <f t="shared" si="136"/>
        <v>205.70999999999998</v>
      </c>
      <c r="AS55" s="49">
        <f t="shared" si="137"/>
        <v>176.72</v>
      </c>
      <c r="AT55" s="49">
        <f t="shared" si="138"/>
        <v>1199.9749999999999</v>
      </c>
      <c r="AU55" s="49">
        <f t="shared" si="139"/>
        <v>205.70999999999998</v>
      </c>
      <c r="AV55" s="49">
        <f t="shared" si="140"/>
        <v>329.13600000000002</v>
      </c>
      <c r="AW55" s="52">
        <f t="shared" si="141"/>
        <v>6262.656328</v>
      </c>
      <c r="AX55" s="3">
        <f t="shared" si="142"/>
        <v>457.13333333333333</v>
      </c>
      <c r="AY55" s="3">
        <f t="shared" si="143"/>
        <v>37.6</v>
      </c>
      <c r="AZ55" s="3">
        <f t="shared" si="144"/>
        <v>23.433333333333334</v>
      </c>
      <c r="BA55" s="3">
        <f t="shared" si="145"/>
        <v>13.713999999999999</v>
      </c>
      <c r="BB55" s="3">
        <f t="shared" si="146"/>
        <v>11.781333333333333</v>
      </c>
      <c r="BC55" s="3">
        <f t="shared" si="147"/>
        <v>22.34227397260274</v>
      </c>
      <c r="BD55" s="3">
        <f t="shared" si="148"/>
        <v>62.621004566210047</v>
      </c>
      <c r="BE55" s="3">
        <f t="shared" si="149"/>
        <v>6.2621004566210043</v>
      </c>
      <c r="BF55" s="3">
        <f t="shared" si="150"/>
        <v>79.998333333333321</v>
      </c>
      <c r="BG55" s="3">
        <f t="shared" si="151"/>
        <v>13.713999999999999</v>
      </c>
      <c r="BH55" s="3">
        <f t="shared" si="152"/>
        <v>9.1426666666666669</v>
      </c>
      <c r="BI55" s="3">
        <f t="shared" si="153"/>
        <v>21.942400000000003</v>
      </c>
      <c r="BJ55" s="3">
        <f t="shared" si="154"/>
        <v>13714</v>
      </c>
      <c r="BK55" s="3">
        <f t="shared" si="155"/>
        <v>1128</v>
      </c>
      <c r="BL55" s="3">
        <f t="shared" si="156"/>
        <v>703</v>
      </c>
      <c r="BM55" s="3">
        <f t="shared" si="157"/>
        <v>411.41999999999996</v>
      </c>
      <c r="BN55" s="3">
        <f t="shared" si="158"/>
        <v>353.44</v>
      </c>
      <c r="BO55" s="3">
        <f t="shared" si="159"/>
        <v>679.57749999999999</v>
      </c>
      <c r="BP55" s="3">
        <f t="shared" si="160"/>
        <v>1904.7222222222224</v>
      </c>
      <c r="BQ55" s="3">
        <f t="shared" si="161"/>
        <v>190.4722222222222</v>
      </c>
      <c r="BR55" s="3">
        <f t="shared" si="162"/>
        <v>2399.9499999999998</v>
      </c>
      <c r="BS55" s="3">
        <f t="shared" si="163"/>
        <v>411.41999999999996</v>
      </c>
      <c r="BT55" s="3">
        <f t="shared" si="164"/>
        <v>274.28000000000003</v>
      </c>
      <c r="BU55" s="3">
        <f t="shared" si="165"/>
        <v>658.27200000000005</v>
      </c>
      <c r="BV55" s="53">
        <f t="shared" si="114"/>
        <v>164568</v>
      </c>
      <c r="BW55" s="53">
        <f t="shared" si="115"/>
        <v>13536</v>
      </c>
      <c r="BX55" s="53">
        <f t="shared" si="116"/>
        <v>8436</v>
      </c>
      <c r="BY55" s="53">
        <f t="shared" si="117"/>
        <v>4937.0399999999991</v>
      </c>
      <c r="BZ55" s="53">
        <f t="shared" si="118"/>
        <v>4241.28</v>
      </c>
      <c r="CA55" s="53">
        <f t="shared" si="119"/>
        <v>8154.93</v>
      </c>
      <c r="CB55" s="53">
        <f t="shared" si="120"/>
        <v>22856.666666666668</v>
      </c>
      <c r="CC55" s="53">
        <f t="shared" si="121"/>
        <v>2285.6666666666665</v>
      </c>
      <c r="CD55" s="53">
        <f t="shared" si="122"/>
        <v>28799.399999999998</v>
      </c>
      <c r="CE55" s="53">
        <f t="shared" si="123"/>
        <v>4937.0399999999991</v>
      </c>
      <c r="CF55" s="53">
        <f t="shared" si="124"/>
        <v>3291.3600000000006</v>
      </c>
      <c r="CG55" s="53">
        <f t="shared" si="125"/>
        <v>7899.264000000001</v>
      </c>
      <c r="CH55" s="54">
        <f t="shared" si="126"/>
        <v>273942.64733333333</v>
      </c>
      <c r="CI55" s="46"/>
      <c r="CJ55" s="46"/>
      <c r="CK55" s="46"/>
      <c r="CL55" s="46"/>
      <c r="CM55" s="46"/>
      <c r="CN55" s="46"/>
      <c r="CO55" s="46"/>
      <c r="CP55" s="46"/>
    </row>
    <row r="56" spans="1:94" ht="27" customHeight="1" x14ac:dyDescent="0.2">
      <c r="A56" s="8">
        <v>52</v>
      </c>
      <c r="B56" s="8">
        <v>751</v>
      </c>
      <c r="C56" s="43" t="s">
        <v>98</v>
      </c>
      <c r="D56" s="44" t="str">
        <f t="shared" si="102"/>
        <v>Padilla</v>
      </c>
      <c r="E56" s="44" t="str">
        <f t="shared" si="103"/>
        <v xml:space="preserve">Sanchez </v>
      </c>
      <c r="F56" s="44" t="str">
        <f t="shared" si="104"/>
        <v>Jose Manuel</v>
      </c>
      <c r="G56" s="8">
        <v>4</v>
      </c>
      <c r="H56" s="8" t="s">
        <v>97</v>
      </c>
      <c r="I56" s="45" t="s">
        <v>96</v>
      </c>
      <c r="J56" s="45" t="s">
        <v>92</v>
      </c>
      <c r="K56" s="46" t="s">
        <v>6</v>
      </c>
      <c r="L56" s="46" t="s">
        <v>5</v>
      </c>
      <c r="M56" s="46" t="s">
        <v>11</v>
      </c>
      <c r="N56" s="47" t="str">
        <f>IF(H56&gt;0,MID(H56,9,2)&amp;"/"&amp;MID(H56,7,2)&amp;"/"&amp;MID(H56,5,2),0)</f>
        <v>22/12/46</v>
      </c>
      <c r="O56" s="48">
        <f t="shared" ca="1" si="105"/>
        <v>71</v>
      </c>
      <c r="P56" s="1">
        <v>35900</v>
      </c>
      <c r="Q56" s="2" t="str">
        <f t="shared" si="106"/>
        <v>20 años, 8 meses, 16 dias.</v>
      </c>
      <c r="R56" s="2">
        <f t="shared" si="107"/>
        <v>20</v>
      </c>
      <c r="S56" s="2">
        <f t="shared" si="108"/>
        <v>248</v>
      </c>
      <c r="T56" s="2">
        <f t="shared" si="109"/>
        <v>7565</v>
      </c>
      <c r="U56" s="46" t="s">
        <v>90</v>
      </c>
      <c r="V56" s="46">
        <v>24</v>
      </c>
      <c r="W56" s="46" t="s">
        <v>16</v>
      </c>
      <c r="X56" s="46">
        <v>40</v>
      </c>
      <c r="Y56" s="46" t="s">
        <v>15</v>
      </c>
      <c r="Z56" s="46" t="s">
        <v>1</v>
      </c>
      <c r="AA56" s="49">
        <f>IF(C56="Plaza sin presupuesto",0,IF(W56="si",IF(X56=30,VLOOKUP(V56,'[1]Tablas despensa y pasaje 2018'!$A$3:$I$38,2,0),IF(PLANTILLA!X56=40,VLOOKUP(PLANTILLA!V56,'[1]Tablas despensa y pasaje 2018'!$A$3:$I$38,6,0))),IF(X56=30,VLOOKUP(V56,'[1]Tablas despensa y pasaje 2018'!$A$41:$I$48,2,0),IF(X56=40,VLOOKUP(V56,'[1]Tablas despensa y pasaje 2018'!$A$41:$I$48,6,0),0))))</f>
        <v>42280</v>
      </c>
      <c r="AB56" s="49">
        <f>IF(C56="Plaza sin presupuesto",0,IF(W56="si",IF(X56=30,VLOOKUP(V56,'[1]Tablas despensa y pasaje 2018'!$A$3:$I$38,3,0),IF(PLANTILLA!X56=40,VLOOKUP(PLANTILLA!V56,'[1]Tablas despensa y pasaje 2018'!$A$3:$I$38,7,0))),IF(X56=30,VLOOKUP(V56,'[1]Tablas despensa y pasaje 2018'!$A$41:$I$48,3,0),IF(X56=40,VLOOKUP(V56,'[1]Tablas despensa y pasaje 2018'!$A$41:$I$48,7,0),0))))</f>
        <v>1865</v>
      </c>
      <c r="AC56" s="49">
        <f>IF(C56="Plaza sin presupuesto",0,IF(W56="si",IF(X56=30,VLOOKUP(V56,'[1]Tablas despensa y pasaje 2018'!$A$3:$I$38,4,0),IF(PLANTILLA!X56=40,VLOOKUP(PLANTILLA!V56,'[1]Tablas despensa y pasaje 2018'!$A$3:$I$38,8,0))),IF(X56=30,VLOOKUP(V56,'[1]Tablas despensa y pasaje 2018'!$A$41:$I$48,4,0),IF(X56=40,VLOOKUP(V56,'[1]Tablas despensa y pasaje 2018'!$A$41:$I$48,8,0),0))))</f>
        <v>1345</v>
      </c>
      <c r="AD56" s="49">
        <f t="shared" si="110"/>
        <v>0</v>
      </c>
      <c r="AE56" s="49">
        <f t="shared" si="111"/>
        <v>441.8</v>
      </c>
      <c r="AF56" s="49">
        <f t="shared" si="127"/>
        <v>21140</v>
      </c>
      <c r="AG56" s="49">
        <f t="shared" si="112"/>
        <v>70466.666666666657</v>
      </c>
      <c r="AH56" s="49">
        <f t="shared" si="113"/>
        <v>7046.6666666666661</v>
      </c>
      <c r="AI56" s="49">
        <f t="shared" si="128"/>
        <v>7398.9999999999991</v>
      </c>
      <c r="AJ56" s="49">
        <f t="shared" si="129"/>
        <v>1268.3999999999999</v>
      </c>
      <c r="AK56" s="49">
        <f t="shared" si="130"/>
        <v>845.6</v>
      </c>
      <c r="AL56" s="49">
        <f t="shared" si="131"/>
        <v>2029.44</v>
      </c>
      <c r="AM56" s="50">
        <f>IF((SUM(AA56:AE56)/2)=0,0,(((((SUM(AA56:AE56)/2)-(VLOOKUP((SUM(AA56:AE56)/2),'[1]Tablas ISR'!$A$4:$D$14,1,TRUE)))*(VLOOKUP((SUM(AA56:AE56)/2),'[1]Tablas ISR'!$A$4:$D$14,4,TRUE)))/100)+(VLOOKUP((SUM(AA56:AE56)/2),'[1]Tablas ISR'!$A$4:$D$14,3,TRUE)))*2)</f>
        <v>9545.4840000000022</v>
      </c>
      <c r="AN56" s="51">
        <f t="shared" si="132"/>
        <v>4862.2</v>
      </c>
      <c r="AO56" s="49">
        <f t="shared" si="133"/>
        <v>21140</v>
      </c>
      <c r="AP56" s="49">
        <f t="shared" si="134"/>
        <v>932.5</v>
      </c>
      <c r="AQ56" s="49">
        <f t="shared" si="135"/>
        <v>672.5</v>
      </c>
      <c r="AR56" s="49">
        <f t="shared" si="136"/>
        <v>0</v>
      </c>
      <c r="AS56" s="49">
        <f t="shared" si="137"/>
        <v>220.9</v>
      </c>
      <c r="AT56" s="49">
        <f t="shared" si="138"/>
        <v>3699.4999999999995</v>
      </c>
      <c r="AU56" s="49">
        <f t="shared" si="139"/>
        <v>634.19999999999993</v>
      </c>
      <c r="AV56" s="49">
        <f t="shared" si="140"/>
        <v>1014.72</v>
      </c>
      <c r="AW56" s="52">
        <f t="shared" si="141"/>
        <v>15762.057999999999</v>
      </c>
      <c r="AX56" s="3">
        <f t="shared" si="142"/>
        <v>1409.3333333333333</v>
      </c>
      <c r="AY56" s="3">
        <f t="shared" si="143"/>
        <v>62.166666666666664</v>
      </c>
      <c r="AZ56" s="3">
        <f t="shared" si="144"/>
        <v>44.833333333333336</v>
      </c>
      <c r="BA56" s="3">
        <f t="shared" si="145"/>
        <v>0</v>
      </c>
      <c r="BB56" s="3">
        <f t="shared" si="146"/>
        <v>14.726666666666667</v>
      </c>
      <c r="BC56" s="3">
        <f t="shared" si="147"/>
        <v>57.917808219178085</v>
      </c>
      <c r="BD56" s="3">
        <f t="shared" si="148"/>
        <v>193.05936073059357</v>
      </c>
      <c r="BE56" s="3">
        <f t="shared" si="149"/>
        <v>19.30593607305936</v>
      </c>
      <c r="BF56" s="3">
        <f t="shared" si="150"/>
        <v>246.6333333333333</v>
      </c>
      <c r="BG56" s="3">
        <f t="shared" si="151"/>
        <v>42.279999999999994</v>
      </c>
      <c r="BH56" s="3">
        <f t="shared" si="152"/>
        <v>28.186666666666667</v>
      </c>
      <c r="BI56" s="3">
        <f t="shared" si="153"/>
        <v>67.647999999999996</v>
      </c>
      <c r="BJ56" s="3">
        <f t="shared" si="154"/>
        <v>42280</v>
      </c>
      <c r="BK56" s="3">
        <f t="shared" si="155"/>
        <v>1865</v>
      </c>
      <c r="BL56" s="3">
        <f t="shared" si="156"/>
        <v>1345</v>
      </c>
      <c r="BM56" s="3">
        <f t="shared" si="157"/>
        <v>0</v>
      </c>
      <c r="BN56" s="3">
        <f t="shared" si="158"/>
        <v>441.8</v>
      </c>
      <c r="BO56" s="3">
        <f t="shared" si="159"/>
        <v>1761.6666666666667</v>
      </c>
      <c r="BP56" s="3">
        <f t="shared" si="160"/>
        <v>5872.2222222222217</v>
      </c>
      <c r="BQ56" s="3">
        <f t="shared" si="161"/>
        <v>587.22222222222217</v>
      </c>
      <c r="BR56" s="3">
        <f t="shared" si="162"/>
        <v>7398.9999999999991</v>
      </c>
      <c r="BS56" s="3">
        <f t="shared" si="163"/>
        <v>1268.3999999999999</v>
      </c>
      <c r="BT56" s="3">
        <f t="shared" si="164"/>
        <v>845.6</v>
      </c>
      <c r="BU56" s="3">
        <f t="shared" si="165"/>
        <v>2029.4399999999998</v>
      </c>
      <c r="BV56" s="53">
        <f t="shared" si="114"/>
        <v>507360</v>
      </c>
      <c r="BW56" s="53">
        <f t="shared" si="115"/>
        <v>22380</v>
      </c>
      <c r="BX56" s="53">
        <f t="shared" si="116"/>
        <v>16140</v>
      </c>
      <c r="BY56" s="53">
        <f t="shared" si="117"/>
        <v>0</v>
      </c>
      <c r="BZ56" s="53">
        <f t="shared" si="118"/>
        <v>5301.6</v>
      </c>
      <c r="CA56" s="53">
        <f t="shared" si="119"/>
        <v>21140</v>
      </c>
      <c r="CB56" s="53">
        <f t="shared" si="120"/>
        <v>70466.666666666657</v>
      </c>
      <c r="CC56" s="53">
        <f t="shared" si="121"/>
        <v>7046.6666666666661</v>
      </c>
      <c r="CD56" s="53">
        <f t="shared" si="122"/>
        <v>88787.999999999985</v>
      </c>
      <c r="CE56" s="53">
        <f t="shared" si="123"/>
        <v>15220.8</v>
      </c>
      <c r="CF56" s="53">
        <f t="shared" si="124"/>
        <v>10147.200000000001</v>
      </c>
      <c r="CG56" s="53">
        <f t="shared" si="125"/>
        <v>24353.279999999999</v>
      </c>
      <c r="CH56" s="54">
        <f t="shared" si="126"/>
        <v>788344.21333333326</v>
      </c>
      <c r="CI56" s="46"/>
      <c r="CJ56" s="46"/>
      <c r="CK56" s="46"/>
      <c r="CL56" s="46"/>
      <c r="CM56" s="46"/>
      <c r="CN56" s="46"/>
      <c r="CO56" s="46"/>
      <c r="CP56" s="46"/>
    </row>
    <row r="57" spans="1:94" ht="27" customHeight="1" x14ac:dyDescent="0.2">
      <c r="A57" s="8">
        <v>53</v>
      </c>
      <c r="B57" s="8">
        <v>752</v>
      </c>
      <c r="C57" s="43" t="s">
        <v>95</v>
      </c>
      <c r="D57" s="44" t="str">
        <f t="shared" si="102"/>
        <v>Alvarez</v>
      </c>
      <c r="E57" s="44" t="str">
        <f t="shared" si="103"/>
        <v xml:space="preserve">Barraza </v>
      </c>
      <c r="F57" s="44" t="str">
        <f t="shared" si="104"/>
        <v>Laura Susana</v>
      </c>
      <c r="G57" s="8">
        <v>4</v>
      </c>
      <c r="H57" s="8" t="s">
        <v>94</v>
      </c>
      <c r="I57" s="45" t="s">
        <v>93</v>
      </c>
      <c r="J57" s="45" t="s">
        <v>92</v>
      </c>
      <c r="K57" s="46" t="s">
        <v>6</v>
      </c>
      <c r="L57" s="46" t="s">
        <v>17</v>
      </c>
      <c r="M57" s="46" t="s">
        <v>91</v>
      </c>
      <c r="N57" s="47" t="str">
        <f>IF(H57&gt;0,MID(H57,9,2)&amp;"/"&amp;MID(H57,7,2)&amp;"/"&amp;MID(H57,5,2),0)</f>
        <v>11/08/67</v>
      </c>
      <c r="O57" s="48">
        <f t="shared" ca="1" si="105"/>
        <v>50</v>
      </c>
      <c r="P57" s="1">
        <v>35977</v>
      </c>
      <c r="Q57" s="2" t="str">
        <f t="shared" si="106"/>
        <v>20 años, 5 meses, 30 dias.</v>
      </c>
      <c r="R57" s="2">
        <f t="shared" si="107"/>
        <v>20</v>
      </c>
      <c r="S57" s="2">
        <f t="shared" si="108"/>
        <v>245</v>
      </c>
      <c r="T57" s="2">
        <f t="shared" si="109"/>
        <v>7488</v>
      </c>
      <c r="U57" s="46" t="s">
        <v>90</v>
      </c>
      <c r="V57" s="46">
        <v>15</v>
      </c>
      <c r="W57" s="46" t="s">
        <v>16</v>
      </c>
      <c r="X57" s="46">
        <v>40</v>
      </c>
      <c r="Y57" s="46" t="s">
        <v>15</v>
      </c>
      <c r="Z57" s="46" t="s">
        <v>1</v>
      </c>
      <c r="AA57" s="49">
        <f>IF(C57="Plaza sin presupuesto",0,IF(W57="si",IF(X57=30,VLOOKUP(V57,'[1]Tablas despensa y pasaje 2018'!$A$3:$I$38,2,0),IF(PLANTILLA!X57=40,VLOOKUP(PLANTILLA!V57,'[1]Tablas despensa y pasaje 2018'!$A$3:$I$38,6,0))),IF(X57=30,VLOOKUP(V57,'[1]Tablas despensa y pasaje 2018'!$A$41:$I$48,2,0),IF(X57=40,VLOOKUP(V57,'[1]Tablas despensa y pasaje 2018'!$A$41:$I$48,6,0),0))))</f>
        <v>15675</v>
      </c>
      <c r="AB57" s="49">
        <f>IF(C57="Plaza sin presupuesto",0,IF(W57="si",IF(X57=30,VLOOKUP(V57,'[1]Tablas despensa y pasaje 2018'!$A$3:$I$38,3,0),IF(PLANTILLA!X57=40,VLOOKUP(PLANTILLA!V57,'[1]Tablas despensa y pasaje 2018'!$A$3:$I$38,7,0))),IF(X57=30,VLOOKUP(V57,'[1]Tablas despensa y pasaje 2018'!$A$41:$I$48,3,0),IF(X57=40,VLOOKUP(V57,'[1]Tablas despensa y pasaje 2018'!$A$41:$I$48,7,0),0))))</f>
        <v>1206</v>
      </c>
      <c r="AC57" s="49">
        <f>IF(C57="Plaza sin presupuesto",0,IF(W57="si",IF(X57=30,VLOOKUP(V57,'[1]Tablas despensa y pasaje 2018'!$A$3:$I$38,4,0),IF(PLANTILLA!X57=40,VLOOKUP(PLANTILLA!V57,'[1]Tablas despensa y pasaje 2018'!$A$3:$I$38,8,0))),IF(X57=30,VLOOKUP(V57,'[1]Tablas despensa y pasaje 2018'!$A$41:$I$48,4,0),IF(X57=40,VLOOKUP(V57,'[1]Tablas despensa y pasaje 2018'!$A$41:$I$48,8,0),0))))</f>
        <v>755</v>
      </c>
      <c r="AD57" s="49">
        <f t="shared" si="110"/>
        <v>0</v>
      </c>
      <c r="AE57" s="49">
        <f t="shared" si="111"/>
        <v>441.8</v>
      </c>
      <c r="AF57" s="49">
        <f t="shared" si="127"/>
        <v>7837.5</v>
      </c>
      <c r="AG57" s="49">
        <f t="shared" si="112"/>
        <v>26125</v>
      </c>
      <c r="AH57" s="49">
        <f t="shared" si="113"/>
        <v>2612.5</v>
      </c>
      <c r="AI57" s="49">
        <f t="shared" si="128"/>
        <v>2743.125</v>
      </c>
      <c r="AJ57" s="49">
        <f t="shared" si="129"/>
        <v>470.25</v>
      </c>
      <c r="AK57" s="49">
        <f t="shared" si="130"/>
        <v>313.5</v>
      </c>
      <c r="AL57" s="49">
        <f t="shared" si="131"/>
        <v>752.4</v>
      </c>
      <c r="AM57" s="50">
        <f>IF((SUM(AA57:AE57)/2)=0,0,(((((SUM(AA57:AE57)/2)-(VLOOKUP((SUM(AA57:AE57)/2),'[1]Tablas ISR'!$A$4:$D$14,1,TRUE)))*(VLOOKUP((SUM(AA57:AE57)/2),'[1]Tablas ISR'!$A$4:$D$14,4,TRUE)))/100)+(VLOOKUP((SUM(AA57:AE57)/2),'[1]Tablas ISR'!$A$4:$D$14,3,TRUE)))*2)</f>
        <v>2585.0693279999996</v>
      </c>
      <c r="AN57" s="51">
        <f t="shared" si="132"/>
        <v>1802.625</v>
      </c>
      <c r="AO57" s="49">
        <f t="shared" si="133"/>
        <v>7837.5</v>
      </c>
      <c r="AP57" s="49">
        <f t="shared" si="134"/>
        <v>603</v>
      </c>
      <c r="AQ57" s="49">
        <f t="shared" si="135"/>
        <v>377.5</v>
      </c>
      <c r="AR57" s="49">
        <f t="shared" si="136"/>
        <v>0</v>
      </c>
      <c r="AS57" s="49">
        <f t="shared" si="137"/>
        <v>220.9</v>
      </c>
      <c r="AT57" s="49">
        <f t="shared" si="138"/>
        <v>1371.5625</v>
      </c>
      <c r="AU57" s="49">
        <f t="shared" si="139"/>
        <v>235.125</v>
      </c>
      <c r="AV57" s="49">
        <f t="shared" si="140"/>
        <v>376.2</v>
      </c>
      <c r="AW57" s="52">
        <f t="shared" si="141"/>
        <v>6845.0528359999998</v>
      </c>
      <c r="AX57" s="3">
        <f t="shared" si="142"/>
        <v>522.5</v>
      </c>
      <c r="AY57" s="3">
        <f t="shared" si="143"/>
        <v>40.200000000000003</v>
      </c>
      <c r="AZ57" s="3">
        <f t="shared" si="144"/>
        <v>25.166666666666668</v>
      </c>
      <c r="BA57" s="3">
        <f t="shared" si="145"/>
        <v>0</v>
      </c>
      <c r="BB57" s="3">
        <f t="shared" si="146"/>
        <v>14.726666666666667</v>
      </c>
      <c r="BC57" s="3">
        <f t="shared" si="147"/>
        <v>21.472602739726028</v>
      </c>
      <c r="BD57" s="3">
        <f t="shared" si="148"/>
        <v>71.575342465753423</v>
      </c>
      <c r="BE57" s="3">
        <f t="shared" si="149"/>
        <v>7.1575342465753424</v>
      </c>
      <c r="BF57" s="3">
        <f t="shared" si="150"/>
        <v>91.4375</v>
      </c>
      <c r="BG57" s="3">
        <f t="shared" si="151"/>
        <v>15.675000000000001</v>
      </c>
      <c r="BH57" s="3">
        <f t="shared" si="152"/>
        <v>10.45</v>
      </c>
      <c r="BI57" s="3">
        <f t="shared" si="153"/>
        <v>25.08</v>
      </c>
      <c r="BJ57" s="3">
        <f t="shared" si="154"/>
        <v>15675</v>
      </c>
      <c r="BK57" s="3">
        <f t="shared" si="155"/>
        <v>1206</v>
      </c>
      <c r="BL57" s="3">
        <f t="shared" si="156"/>
        <v>755</v>
      </c>
      <c r="BM57" s="3">
        <f t="shared" si="157"/>
        <v>0</v>
      </c>
      <c r="BN57" s="3">
        <f t="shared" si="158"/>
        <v>441.8</v>
      </c>
      <c r="BO57" s="3">
        <f t="shared" si="159"/>
        <v>653.125</v>
      </c>
      <c r="BP57" s="3">
        <f t="shared" si="160"/>
        <v>2177.0833333333335</v>
      </c>
      <c r="BQ57" s="3">
        <f t="shared" si="161"/>
        <v>217.70833333333334</v>
      </c>
      <c r="BR57" s="3">
        <f t="shared" si="162"/>
        <v>2743.125</v>
      </c>
      <c r="BS57" s="3">
        <f t="shared" si="163"/>
        <v>470.25</v>
      </c>
      <c r="BT57" s="3">
        <f t="shared" si="164"/>
        <v>313.5</v>
      </c>
      <c r="BU57" s="3">
        <f t="shared" si="165"/>
        <v>752.4</v>
      </c>
      <c r="BV57" s="53">
        <f t="shared" si="114"/>
        <v>188100</v>
      </c>
      <c r="BW57" s="53">
        <f t="shared" si="115"/>
        <v>14472</v>
      </c>
      <c r="BX57" s="53">
        <f t="shared" si="116"/>
        <v>9060</v>
      </c>
      <c r="BY57" s="53">
        <f t="shared" si="117"/>
        <v>0</v>
      </c>
      <c r="BZ57" s="53">
        <f t="shared" si="118"/>
        <v>5301.6</v>
      </c>
      <c r="CA57" s="53">
        <f t="shared" si="119"/>
        <v>7837.5</v>
      </c>
      <c r="CB57" s="53">
        <f t="shared" si="120"/>
        <v>26125</v>
      </c>
      <c r="CC57" s="53">
        <f t="shared" si="121"/>
        <v>2612.5</v>
      </c>
      <c r="CD57" s="53">
        <f t="shared" si="122"/>
        <v>32917.5</v>
      </c>
      <c r="CE57" s="53">
        <f t="shared" si="123"/>
        <v>5643</v>
      </c>
      <c r="CF57" s="53">
        <f t="shared" si="124"/>
        <v>3762</v>
      </c>
      <c r="CG57" s="53">
        <f t="shared" si="125"/>
        <v>9028.7999999999993</v>
      </c>
      <c r="CH57" s="54">
        <f t="shared" si="126"/>
        <v>304859.89999999997</v>
      </c>
      <c r="CI57" s="46"/>
      <c r="CJ57" s="46"/>
      <c r="CK57" s="46"/>
      <c r="CL57" s="46"/>
      <c r="CM57" s="46"/>
      <c r="CN57" s="46"/>
      <c r="CO57" s="46"/>
      <c r="CP57" s="46"/>
    </row>
    <row r="58" spans="1:94" ht="27" customHeight="1" x14ac:dyDescent="0.2">
      <c r="A58" s="8">
        <v>54</v>
      </c>
      <c r="B58" s="8">
        <v>821</v>
      </c>
      <c r="C58" s="43" t="s">
        <v>89</v>
      </c>
      <c r="D58" s="44" t="str">
        <f t="shared" si="102"/>
        <v>Bautista</v>
      </c>
      <c r="E58" s="44" t="str">
        <f t="shared" si="103"/>
        <v xml:space="preserve">Andalon </v>
      </c>
      <c r="F58" s="44" t="str">
        <f t="shared" si="104"/>
        <v>Maximiano</v>
      </c>
      <c r="G58" s="8">
        <v>3</v>
      </c>
      <c r="H58" s="8" t="s">
        <v>88</v>
      </c>
      <c r="I58" s="45" t="s">
        <v>34</v>
      </c>
      <c r="J58" s="45" t="s">
        <v>59</v>
      </c>
      <c r="K58" s="46" t="s">
        <v>6</v>
      </c>
      <c r="L58" s="46" t="s">
        <v>5</v>
      </c>
      <c r="M58" s="46" t="s">
        <v>30</v>
      </c>
      <c r="N58" s="47" t="str">
        <f>IF(H58&gt;0,MID(H58,9,2)&amp;"/"&amp;MID(H58,7,2)&amp;"/"&amp;MID(H58,5,2),0)</f>
        <v>16/08/69</v>
      </c>
      <c r="O58" s="48">
        <f t="shared" ca="1" si="105"/>
        <v>48</v>
      </c>
      <c r="P58" s="1">
        <v>37818</v>
      </c>
      <c r="Q58" s="2" t="str">
        <f t="shared" si="106"/>
        <v>15 años, 5 meses, 15 dias.</v>
      </c>
      <c r="R58" s="2">
        <f t="shared" si="107"/>
        <v>15</v>
      </c>
      <c r="S58" s="2">
        <f t="shared" si="108"/>
        <v>185</v>
      </c>
      <c r="T58" s="2">
        <f t="shared" si="109"/>
        <v>5647</v>
      </c>
      <c r="U58" s="46" t="s">
        <v>3</v>
      </c>
      <c r="V58" s="46">
        <v>24</v>
      </c>
      <c r="W58" s="46" t="s">
        <v>16</v>
      </c>
      <c r="X58" s="46">
        <v>40</v>
      </c>
      <c r="Y58" s="46" t="s">
        <v>15</v>
      </c>
      <c r="Z58" s="46" t="s">
        <v>1</v>
      </c>
      <c r="AA58" s="49">
        <f>IF(C58="Plaza sin presupuesto",0,IF(W58="si",IF(X58=30,VLOOKUP(V58,'[1]Tablas despensa y pasaje 2018'!$A$3:$I$38,2,0),IF(PLANTILLA!X58=40,VLOOKUP(PLANTILLA!V58,'[1]Tablas despensa y pasaje 2018'!$A$3:$I$38,6,0))),IF(X58=30,VLOOKUP(V58,'[1]Tablas despensa y pasaje 2018'!$A$41:$I$48,2,0),IF(X58=40,VLOOKUP(V58,'[1]Tablas despensa y pasaje 2018'!$A$41:$I$48,6,0),0))))</f>
        <v>42280</v>
      </c>
      <c r="AB58" s="49">
        <f>IF(C58="Plaza sin presupuesto",0,IF(W58="si",IF(X58=30,VLOOKUP(V58,'[1]Tablas despensa y pasaje 2018'!$A$3:$I$38,3,0),IF(PLANTILLA!X58=40,VLOOKUP(PLANTILLA!V58,'[1]Tablas despensa y pasaje 2018'!$A$3:$I$38,7,0))),IF(X58=30,VLOOKUP(V58,'[1]Tablas despensa y pasaje 2018'!$A$41:$I$48,3,0),IF(X58=40,VLOOKUP(V58,'[1]Tablas despensa y pasaje 2018'!$A$41:$I$48,7,0),0))))</f>
        <v>1865</v>
      </c>
      <c r="AC58" s="49">
        <f>IF(C58="Plaza sin presupuesto",0,IF(W58="si",IF(X58=30,VLOOKUP(V58,'[1]Tablas despensa y pasaje 2018'!$A$3:$I$38,4,0),IF(PLANTILLA!X58=40,VLOOKUP(PLANTILLA!V58,'[1]Tablas despensa y pasaje 2018'!$A$3:$I$38,8,0))),IF(X58=30,VLOOKUP(V58,'[1]Tablas despensa y pasaje 2018'!$A$41:$I$48,4,0),IF(X58=40,VLOOKUP(V58,'[1]Tablas despensa y pasaje 2018'!$A$41:$I$48,8,0),0))))</f>
        <v>1345</v>
      </c>
      <c r="AD58" s="49">
        <f t="shared" si="110"/>
        <v>0</v>
      </c>
      <c r="AE58" s="49">
        <f t="shared" si="111"/>
        <v>353.44</v>
      </c>
      <c r="AF58" s="49">
        <f t="shared" si="127"/>
        <v>21140</v>
      </c>
      <c r="AG58" s="49">
        <f t="shared" si="112"/>
        <v>70466.666666666657</v>
      </c>
      <c r="AH58" s="49">
        <f t="shared" si="113"/>
        <v>7046.6666666666661</v>
      </c>
      <c r="AI58" s="49">
        <f t="shared" si="128"/>
        <v>7398.9999999999991</v>
      </c>
      <c r="AJ58" s="49">
        <f t="shared" si="129"/>
        <v>1268.3999999999999</v>
      </c>
      <c r="AK58" s="49">
        <f t="shared" si="130"/>
        <v>845.6</v>
      </c>
      <c r="AL58" s="49">
        <f t="shared" si="131"/>
        <v>2029.44</v>
      </c>
      <c r="AM58" s="50">
        <f>IF((SUM(AA58:AE58)/2)=0,0,(((((SUM(AA58:AE58)/2)-(VLOOKUP((SUM(AA58:AE58)/2),'[1]Tablas ISR'!$A$4:$D$14,1,TRUE)))*(VLOOKUP((SUM(AA58:AE58)/2),'[1]Tablas ISR'!$A$4:$D$14,4,TRUE)))/100)+(VLOOKUP((SUM(AA58:AE58)/2),'[1]Tablas ISR'!$A$4:$D$14,3,TRUE)))*2)</f>
        <v>9518.9760000000024</v>
      </c>
      <c r="AN58" s="51">
        <f t="shared" si="132"/>
        <v>4862.2</v>
      </c>
      <c r="AO58" s="49">
        <f t="shared" si="133"/>
        <v>21140</v>
      </c>
      <c r="AP58" s="49">
        <f t="shared" si="134"/>
        <v>932.5</v>
      </c>
      <c r="AQ58" s="49">
        <f t="shared" si="135"/>
        <v>672.5</v>
      </c>
      <c r="AR58" s="49">
        <f t="shared" si="136"/>
        <v>0</v>
      </c>
      <c r="AS58" s="49">
        <f t="shared" si="137"/>
        <v>176.72</v>
      </c>
      <c r="AT58" s="49">
        <f t="shared" si="138"/>
        <v>3699.4999999999995</v>
      </c>
      <c r="AU58" s="49">
        <f t="shared" si="139"/>
        <v>634.19999999999993</v>
      </c>
      <c r="AV58" s="49">
        <f t="shared" si="140"/>
        <v>1014.72</v>
      </c>
      <c r="AW58" s="52">
        <f t="shared" si="141"/>
        <v>15731.132</v>
      </c>
      <c r="AX58" s="3">
        <f t="shared" si="142"/>
        <v>1409.3333333333333</v>
      </c>
      <c r="AY58" s="3">
        <f t="shared" si="143"/>
        <v>62.166666666666664</v>
      </c>
      <c r="AZ58" s="3">
        <f t="shared" si="144"/>
        <v>44.833333333333336</v>
      </c>
      <c r="BA58" s="3">
        <f t="shared" si="145"/>
        <v>0</v>
      </c>
      <c r="BB58" s="3">
        <f t="shared" si="146"/>
        <v>11.781333333333333</v>
      </c>
      <c r="BC58" s="3">
        <f t="shared" si="147"/>
        <v>57.917808219178085</v>
      </c>
      <c r="BD58" s="3">
        <f t="shared" si="148"/>
        <v>193.05936073059357</v>
      </c>
      <c r="BE58" s="3">
        <f t="shared" si="149"/>
        <v>19.30593607305936</v>
      </c>
      <c r="BF58" s="3">
        <f t="shared" si="150"/>
        <v>246.6333333333333</v>
      </c>
      <c r="BG58" s="3">
        <f t="shared" si="151"/>
        <v>42.279999999999994</v>
      </c>
      <c r="BH58" s="3">
        <f t="shared" si="152"/>
        <v>28.186666666666667</v>
      </c>
      <c r="BI58" s="3">
        <f t="shared" si="153"/>
        <v>67.647999999999996</v>
      </c>
      <c r="BJ58" s="3">
        <f t="shared" si="154"/>
        <v>42280</v>
      </c>
      <c r="BK58" s="3">
        <f t="shared" si="155"/>
        <v>1865</v>
      </c>
      <c r="BL58" s="3">
        <f t="shared" si="156"/>
        <v>1345</v>
      </c>
      <c r="BM58" s="3">
        <f t="shared" si="157"/>
        <v>0</v>
      </c>
      <c r="BN58" s="3">
        <f t="shared" si="158"/>
        <v>353.44</v>
      </c>
      <c r="BO58" s="3">
        <f t="shared" si="159"/>
        <v>1761.6666666666667</v>
      </c>
      <c r="BP58" s="3">
        <f t="shared" si="160"/>
        <v>5872.2222222222217</v>
      </c>
      <c r="BQ58" s="3">
        <f t="shared" si="161"/>
        <v>587.22222222222217</v>
      </c>
      <c r="BR58" s="3">
        <f t="shared" si="162"/>
        <v>7398.9999999999991</v>
      </c>
      <c r="BS58" s="3">
        <f t="shared" si="163"/>
        <v>1268.3999999999999</v>
      </c>
      <c r="BT58" s="3">
        <f t="shared" si="164"/>
        <v>845.6</v>
      </c>
      <c r="BU58" s="3">
        <f t="shared" si="165"/>
        <v>2029.4399999999998</v>
      </c>
      <c r="BV58" s="53">
        <f t="shared" si="114"/>
        <v>507360</v>
      </c>
      <c r="BW58" s="53">
        <f t="shared" si="115"/>
        <v>22380</v>
      </c>
      <c r="BX58" s="53">
        <f t="shared" si="116"/>
        <v>16140</v>
      </c>
      <c r="BY58" s="53">
        <f t="shared" si="117"/>
        <v>0</v>
      </c>
      <c r="BZ58" s="53">
        <f t="shared" si="118"/>
        <v>4241.28</v>
      </c>
      <c r="CA58" s="53">
        <f t="shared" si="119"/>
        <v>21140</v>
      </c>
      <c r="CB58" s="53">
        <f t="shared" si="120"/>
        <v>70466.666666666657</v>
      </c>
      <c r="CC58" s="53">
        <f t="shared" si="121"/>
        <v>7046.6666666666661</v>
      </c>
      <c r="CD58" s="53">
        <f t="shared" si="122"/>
        <v>88787.999999999985</v>
      </c>
      <c r="CE58" s="53">
        <f t="shared" si="123"/>
        <v>15220.8</v>
      </c>
      <c r="CF58" s="53">
        <f t="shared" si="124"/>
        <v>10147.200000000001</v>
      </c>
      <c r="CG58" s="53">
        <f t="shared" si="125"/>
        <v>24353.279999999999</v>
      </c>
      <c r="CH58" s="54">
        <f t="shared" si="126"/>
        <v>787283.89333333331</v>
      </c>
      <c r="CI58" s="46"/>
      <c r="CJ58" s="46"/>
      <c r="CK58" s="46"/>
      <c r="CL58" s="46"/>
      <c r="CM58" s="46"/>
      <c r="CN58" s="46"/>
      <c r="CO58" s="46"/>
      <c r="CP58" s="46"/>
    </row>
    <row r="59" spans="1:94" ht="27" customHeight="1" x14ac:dyDescent="0.2">
      <c r="A59" s="8">
        <v>55</v>
      </c>
      <c r="B59" s="8">
        <v>822</v>
      </c>
      <c r="C59" s="43" t="s">
        <v>87</v>
      </c>
      <c r="D59" s="44" t="str">
        <f t="shared" si="102"/>
        <v>Gomez</v>
      </c>
      <c r="E59" s="44" t="str">
        <f t="shared" si="103"/>
        <v xml:space="preserve">Ortiz </v>
      </c>
      <c r="F59" s="44" t="str">
        <f t="shared" si="104"/>
        <v>Jorge Alonso</v>
      </c>
      <c r="G59" s="8">
        <v>1</v>
      </c>
      <c r="H59" s="8" t="s">
        <v>86</v>
      </c>
      <c r="I59" s="45" t="s">
        <v>85</v>
      </c>
      <c r="J59" s="45" t="s">
        <v>59</v>
      </c>
      <c r="K59" s="46" t="s">
        <v>6</v>
      </c>
      <c r="L59" s="46" t="s">
        <v>5</v>
      </c>
      <c r="M59" s="46" t="s">
        <v>22</v>
      </c>
      <c r="N59" s="47" t="str">
        <f>IF(H59&gt;0,MID(H59,9,2)&amp;"/"&amp;MID(H59,7,2)&amp;"/"&amp;MID(H59,5,2),0)</f>
        <v>17/04/70</v>
      </c>
      <c r="O59" s="48">
        <f t="shared" ca="1" si="105"/>
        <v>47</v>
      </c>
      <c r="P59" s="1">
        <v>35947</v>
      </c>
      <c r="Q59" s="2" t="str">
        <f t="shared" si="106"/>
        <v>20 años, 6 meses, 30 dias.</v>
      </c>
      <c r="R59" s="2">
        <f t="shared" si="107"/>
        <v>20</v>
      </c>
      <c r="S59" s="2">
        <f t="shared" si="108"/>
        <v>246</v>
      </c>
      <c r="T59" s="2">
        <f t="shared" si="109"/>
        <v>7518</v>
      </c>
      <c r="U59" s="46" t="s">
        <v>3</v>
      </c>
      <c r="V59" s="46">
        <v>21</v>
      </c>
      <c r="W59" s="46" t="s">
        <v>16</v>
      </c>
      <c r="X59" s="46">
        <v>40</v>
      </c>
      <c r="Y59" s="46" t="s">
        <v>15</v>
      </c>
      <c r="Z59" s="46" t="s">
        <v>1</v>
      </c>
      <c r="AA59" s="49">
        <f>IF(C59="Plaza sin presupuesto",0,IF(W59="si",IF(X59=30,VLOOKUP(V59,'[1]Tablas despensa y pasaje 2018'!$A$3:$I$38,2,0),IF(PLANTILLA!X59=40,VLOOKUP(PLANTILLA!V59,'[1]Tablas despensa y pasaje 2018'!$A$3:$I$38,6,0))),IF(X59=30,VLOOKUP(V59,'[1]Tablas despensa y pasaje 2018'!$A$41:$I$48,2,0),IF(X59=40,VLOOKUP(V59,'[1]Tablas despensa y pasaje 2018'!$A$41:$I$48,6,0),0))))</f>
        <v>30883</v>
      </c>
      <c r="AB59" s="49">
        <f>IF(C59="Plaza sin presupuesto",0,IF(W59="si",IF(X59=30,VLOOKUP(V59,'[1]Tablas despensa y pasaje 2018'!$A$3:$I$38,3,0),IF(PLANTILLA!X59=40,VLOOKUP(PLANTILLA!V59,'[1]Tablas despensa y pasaje 2018'!$A$3:$I$38,7,0))),IF(X59=30,VLOOKUP(V59,'[1]Tablas despensa y pasaje 2018'!$A$41:$I$48,3,0),IF(X59=40,VLOOKUP(V59,'[1]Tablas despensa y pasaje 2018'!$A$41:$I$48,7,0),0))))</f>
        <v>1671</v>
      </c>
      <c r="AC59" s="49">
        <f>IF(C59="Plaza sin presupuesto",0,IF(W59="si",IF(X59=30,VLOOKUP(V59,'[1]Tablas despensa y pasaje 2018'!$A$3:$I$38,4,0),IF(PLANTILLA!X59=40,VLOOKUP(PLANTILLA!V59,'[1]Tablas despensa y pasaje 2018'!$A$3:$I$38,8,0))),IF(X59=30,VLOOKUP(V59,'[1]Tablas despensa y pasaje 2018'!$A$41:$I$48,4,0),IF(X59=40,VLOOKUP(V59,'[1]Tablas despensa y pasaje 2018'!$A$41:$I$48,8,0),0))))</f>
        <v>1133</v>
      </c>
      <c r="AD59" s="49">
        <f t="shared" si="110"/>
        <v>0</v>
      </c>
      <c r="AE59" s="49">
        <f t="shared" si="111"/>
        <v>441.8</v>
      </c>
      <c r="AF59" s="49">
        <f t="shared" si="127"/>
        <v>15441.5</v>
      </c>
      <c r="AG59" s="49">
        <f t="shared" si="112"/>
        <v>51471.666666666672</v>
      </c>
      <c r="AH59" s="49">
        <f t="shared" si="113"/>
        <v>5147.166666666667</v>
      </c>
      <c r="AI59" s="49">
        <f t="shared" si="128"/>
        <v>5404.5249999999996</v>
      </c>
      <c r="AJ59" s="49">
        <f t="shared" si="129"/>
        <v>926.49</v>
      </c>
      <c r="AK59" s="49">
        <f t="shared" si="130"/>
        <v>617.66</v>
      </c>
      <c r="AL59" s="49">
        <f t="shared" si="131"/>
        <v>1482.384</v>
      </c>
      <c r="AM59" s="50">
        <f>IF((SUM(AA59:AE59)/2)=0,0,(((((SUM(AA59:AE59)/2)-(VLOOKUP((SUM(AA59:AE59)/2),'[1]Tablas ISR'!$A$4:$D$14,1,TRUE)))*(VLOOKUP((SUM(AA59:AE59)/2),'[1]Tablas ISR'!$A$4:$D$14,4,TRUE)))/100)+(VLOOKUP((SUM(AA59:AE59)/2),'[1]Tablas ISR'!$A$4:$D$14,3,TRUE)))*2)</f>
        <v>6234.4388159999999</v>
      </c>
      <c r="AN59" s="51">
        <f t="shared" si="132"/>
        <v>3551.5450000000001</v>
      </c>
      <c r="AO59" s="49">
        <f t="shared" si="133"/>
        <v>15441.5</v>
      </c>
      <c r="AP59" s="49">
        <f t="shared" si="134"/>
        <v>835.5</v>
      </c>
      <c r="AQ59" s="49">
        <f t="shared" si="135"/>
        <v>566.5</v>
      </c>
      <c r="AR59" s="49">
        <f t="shared" si="136"/>
        <v>0</v>
      </c>
      <c r="AS59" s="49">
        <f t="shared" si="137"/>
        <v>220.9</v>
      </c>
      <c r="AT59" s="49">
        <f t="shared" si="138"/>
        <v>2702.2624999999998</v>
      </c>
      <c r="AU59" s="49">
        <f t="shared" si="139"/>
        <v>463.245</v>
      </c>
      <c r="AV59" s="49">
        <f t="shared" si="140"/>
        <v>741.19200000000001</v>
      </c>
      <c r="AW59" s="52">
        <f t="shared" si="141"/>
        <v>12171.408092000001</v>
      </c>
      <c r="AX59" s="3">
        <f t="shared" si="142"/>
        <v>1029.4333333333334</v>
      </c>
      <c r="AY59" s="3">
        <f t="shared" si="143"/>
        <v>55.7</v>
      </c>
      <c r="AZ59" s="3">
        <f t="shared" si="144"/>
        <v>37.766666666666666</v>
      </c>
      <c r="BA59" s="3">
        <f t="shared" si="145"/>
        <v>0</v>
      </c>
      <c r="BB59" s="3">
        <f t="shared" si="146"/>
        <v>14.726666666666667</v>
      </c>
      <c r="BC59" s="3">
        <f t="shared" si="147"/>
        <v>42.305479452054797</v>
      </c>
      <c r="BD59" s="3">
        <f t="shared" si="148"/>
        <v>141.01826484018267</v>
      </c>
      <c r="BE59" s="3">
        <f t="shared" si="149"/>
        <v>14.101826484018266</v>
      </c>
      <c r="BF59" s="3">
        <f t="shared" si="150"/>
        <v>180.15083333333331</v>
      </c>
      <c r="BG59" s="3">
        <f t="shared" si="151"/>
        <v>30.882999999999999</v>
      </c>
      <c r="BH59" s="3">
        <f t="shared" si="152"/>
        <v>20.588666666666665</v>
      </c>
      <c r="BI59" s="3">
        <f t="shared" si="153"/>
        <v>49.412799999999997</v>
      </c>
      <c r="BJ59" s="3">
        <f t="shared" si="154"/>
        <v>30883</v>
      </c>
      <c r="BK59" s="3">
        <f t="shared" si="155"/>
        <v>1671</v>
      </c>
      <c r="BL59" s="3">
        <f t="shared" si="156"/>
        <v>1133</v>
      </c>
      <c r="BM59" s="3">
        <f t="shared" si="157"/>
        <v>0</v>
      </c>
      <c r="BN59" s="3">
        <f t="shared" si="158"/>
        <v>441.8</v>
      </c>
      <c r="BO59" s="3">
        <f t="shared" si="159"/>
        <v>1286.7916666666667</v>
      </c>
      <c r="BP59" s="3">
        <f t="shared" si="160"/>
        <v>4289.3055555555557</v>
      </c>
      <c r="BQ59" s="3">
        <f t="shared" si="161"/>
        <v>428.9305555555556</v>
      </c>
      <c r="BR59" s="3">
        <f t="shared" si="162"/>
        <v>5404.5249999999996</v>
      </c>
      <c r="BS59" s="3">
        <f t="shared" si="163"/>
        <v>926.49</v>
      </c>
      <c r="BT59" s="3">
        <f t="shared" si="164"/>
        <v>617.66</v>
      </c>
      <c r="BU59" s="3">
        <f t="shared" si="165"/>
        <v>1482.384</v>
      </c>
      <c r="BV59" s="53">
        <f t="shared" si="114"/>
        <v>370596</v>
      </c>
      <c r="BW59" s="53">
        <f t="shared" si="115"/>
        <v>20052</v>
      </c>
      <c r="BX59" s="53">
        <f t="shared" si="116"/>
        <v>13596</v>
      </c>
      <c r="BY59" s="53">
        <f t="shared" si="117"/>
        <v>0</v>
      </c>
      <c r="BZ59" s="53">
        <f t="shared" si="118"/>
        <v>5301.6</v>
      </c>
      <c r="CA59" s="53">
        <f t="shared" si="119"/>
        <v>15441.5</v>
      </c>
      <c r="CB59" s="53">
        <f t="shared" si="120"/>
        <v>51471.666666666672</v>
      </c>
      <c r="CC59" s="53">
        <f t="shared" si="121"/>
        <v>5147.166666666667</v>
      </c>
      <c r="CD59" s="53">
        <f t="shared" si="122"/>
        <v>64854.299999999996</v>
      </c>
      <c r="CE59" s="53">
        <f t="shared" si="123"/>
        <v>11117.880000000001</v>
      </c>
      <c r="CF59" s="53">
        <f t="shared" si="124"/>
        <v>7411.92</v>
      </c>
      <c r="CG59" s="53">
        <f t="shared" si="125"/>
        <v>17788.608</v>
      </c>
      <c r="CH59" s="54">
        <f t="shared" si="126"/>
        <v>582778.64133333345</v>
      </c>
      <c r="CI59" s="46"/>
      <c r="CJ59" s="46"/>
      <c r="CK59" s="46"/>
      <c r="CL59" s="46"/>
      <c r="CM59" s="46"/>
      <c r="CN59" s="46"/>
      <c r="CO59" s="46"/>
      <c r="CP59" s="46"/>
    </row>
    <row r="60" spans="1:94" ht="27" customHeight="1" x14ac:dyDescent="0.2">
      <c r="A60" s="8">
        <v>56</v>
      </c>
      <c r="B60" s="8">
        <v>823</v>
      </c>
      <c r="C60" s="43" t="s">
        <v>84</v>
      </c>
      <c r="D60" s="44" t="str">
        <f t="shared" si="102"/>
        <v>Saldaña</v>
      </c>
      <c r="E60" s="44" t="str">
        <f t="shared" si="103"/>
        <v xml:space="preserve">Hernandez </v>
      </c>
      <c r="F60" s="44" t="str">
        <f t="shared" si="104"/>
        <v>Jose Francisco</v>
      </c>
      <c r="G60" s="8">
        <v>1</v>
      </c>
      <c r="H60" s="8" t="s">
        <v>83</v>
      </c>
      <c r="I60" s="45" t="s">
        <v>82</v>
      </c>
      <c r="J60" s="45" t="s">
        <v>59</v>
      </c>
      <c r="K60" s="46" t="s">
        <v>6</v>
      </c>
      <c r="L60" s="46" t="s">
        <v>5</v>
      </c>
      <c r="M60" s="46" t="s">
        <v>22</v>
      </c>
      <c r="N60" s="47" t="str">
        <f>IF(H60&gt;0,MID(H60,9,2)&amp;"/"&amp;MID(H60,7,2)&amp;"/"&amp;MID(H60,5,2),0)</f>
        <v>02/04/59</v>
      </c>
      <c r="O60" s="48">
        <f t="shared" ca="1" si="105"/>
        <v>58</v>
      </c>
      <c r="P60" s="1">
        <v>35886</v>
      </c>
      <c r="Q60" s="2" t="str">
        <f t="shared" si="106"/>
        <v>20 años, 8 meses, 30 dias.</v>
      </c>
      <c r="R60" s="2">
        <f t="shared" si="107"/>
        <v>20</v>
      </c>
      <c r="S60" s="2">
        <f t="shared" si="108"/>
        <v>248</v>
      </c>
      <c r="T60" s="2">
        <f t="shared" si="109"/>
        <v>7579</v>
      </c>
      <c r="U60" s="46" t="s">
        <v>3</v>
      </c>
      <c r="V60" s="46">
        <v>20</v>
      </c>
      <c r="W60" s="46" t="s">
        <v>1</v>
      </c>
      <c r="X60" s="46">
        <v>40</v>
      </c>
      <c r="Y60" s="46" t="s">
        <v>15</v>
      </c>
      <c r="Z60" s="46" t="s">
        <v>1</v>
      </c>
      <c r="AA60" s="49">
        <f>IF(C60="Plaza sin presupuesto",0,IF(W60="si",IF(X60=30,VLOOKUP(V60,'[1]Tablas despensa y pasaje 2018'!$A$3:$I$38,2,0),IF(PLANTILLA!X60=40,VLOOKUP(PLANTILLA!V60,'[1]Tablas despensa y pasaje 2018'!$A$3:$I$38,6,0))),IF(X60=30,VLOOKUP(V60,'[1]Tablas despensa y pasaje 2018'!$A$41:$I$48,2,0),IF(X60=40,VLOOKUP(V60,'[1]Tablas despensa y pasaje 2018'!$A$41:$I$48,6,0),0))))</f>
        <v>28227.599999999999</v>
      </c>
      <c r="AB60" s="49">
        <f>IF(C60="Plaza sin presupuesto",0,IF(W60="si",IF(X60=30,VLOOKUP(V60,'[1]Tablas despensa y pasaje 2018'!$A$3:$I$38,3,0),IF(PLANTILLA!X60=40,VLOOKUP(PLANTILLA!V60,'[1]Tablas despensa y pasaje 2018'!$A$3:$I$38,7,0))),IF(X60=30,VLOOKUP(V60,'[1]Tablas despensa y pasaje 2018'!$A$41:$I$48,3,0),IF(X60=40,VLOOKUP(V60,'[1]Tablas despensa y pasaje 2018'!$A$41:$I$48,7,0),0))))</f>
        <v>1671</v>
      </c>
      <c r="AC60" s="49">
        <f>IF(C60="Plaza sin presupuesto",0,IF(W60="si",IF(X60=30,VLOOKUP(V60,'[1]Tablas despensa y pasaje 2018'!$A$3:$I$38,4,0),IF(PLANTILLA!X60=40,VLOOKUP(PLANTILLA!V60,'[1]Tablas despensa y pasaje 2018'!$A$3:$I$38,8,0))),IF(X60=30,VLOOKUP(V60,'[1]Tablas despensa y pasaje 2018'!$A$41:$I$48,4,0),IF(X60=40,VLOOKUP(V60,'[1]Tablas despensa y pasaje 2018'!$A$41:$I$48,8,0),0))))</f>
        <v>1133</v>
      </c>
      <c r="AD60" s="49">
        <f t="shared" si="110"/>
        <v>0</v>
      </c>
      <c r="AE60" s="49">
        <f t="shared" si="111"/>
        <v>441.8</v>
      </c>
      <c r="AF60" s="49">
        <f t="shared" si="127"/>
        <v>14113.8</v>
      </c>
      <c r="AG60" s="49">
        <f t="shared" si="112"/>
        <v>47046</v>
      </c>
      <c r="AH60" s="49">
        <f t="shared" si="113"/>
        <v>4704.5999999999995</v>
      </c>
      <c r="AI60" s="49">
        <f t="shared" si="128"/>
        <v>4939.829999999999</v>
      </c>
      <c r="AJ60" s="49">
        <f t="shared" si="129"/>
        <v>846.82799999999997</v>
      </c>
      <c r="AK60" s="49">
        <f t="shared" si="130"/>
        <v>564.55200000000002</v>
      </c>
      <c r="AL60" s="49">
        <f t="shared" si="131"/>
        <v>1354.9248</v>
      </c>
      <c r="AM60" s="50">
        <f>IF((SUM(AA60:AE60)/2)=0,0,(((((SUM(AA60:AE60)/2)-(VLOOKUP((SUM(AA60:AE60)/2),'[1]Tablas ISR'!$A$4:$D$14,1,TRUE)))*(VLOOKUP((SUM(AA60:AE60)/2),'[1]Tablas ISR'!$A$4:$D$14,4,TRUE)))/100)+(VLOOKUP((SUM(AA60:AE60)/2),'[1]Tablas ISR'!$A$4:$D$14,3,TRUE)))*2)</f>
        <v>5609.888735999999</v>
      </c>
      <c r="AN60" s="51">
        <f t="shared" si="132"/>
        <v>3246.174</v>
      </c>
      <c r="AO60" s="49">
        <f t="shared" si="133"/>
        <v>14113.8</v>
      </c>
      <c r="AP60" s="49">
        <f t="shared" si="134"/>
        <v>835.5</v>
      </c>
      <c r="AQ60" s="49">
        <f t="shared" si="135"/>
        <v>566.5</v>
      </c>
      <c r="AR60" s="49">
        <f t="shared" si="136"/>
        <v>0</v>
      </c>
      <c r="AS60" s="49">
        <f t="shared" si="137"/>
        <v>220.9</v>
      </c>
      <c r="AT60" s="49">
        <f t="shared" si="138"/>
        <v>2469.9149999999995</v>
      </c>
      <c r="AU60" s="49">
        <f t="shared" si="139"/>
        <v>423.41399999999999</v>
      </c>
      <c r="AV60" s="49">
        <f t="shared" si="140"/>
        <v>677.4624</v>
      </c>
      <c r="AW60" s="52">
        <f t="shared" si="141"/>
        <v>11308.668632000001</v>
      </c>
      <c r="AX60" s="3">
        <f t="shared" si="142"/>
        <v>940.92</v>
      </c>
      <c r="AY60" s="3">
        <f t="shared" si="143"/>
        <v>55.7</v>
      </c>
      <c r="AZ60" s="3">
        <f t="shared" si="144"/>
        <v>37.766666666666666</v>
      </c>
      <c r="BA60" s="3">
        <f t="shared" si="145"/>
        <v>0</v>
      </c>
      <c r="BB60" s="3">
        <f t="shared" si="146"/>
        <v>14.726666666666667</v>
      </c>
      <c r="BC60" s="3">
        <f t="shared" si="147"/>
        <v>38.667945205479448</v>
      </c>
      <c r="BD60" s="3">
        <f t="shared" si="148"/>
        <v>128.8931506849315</v>
      </c>
      <c r="BE60" s="3">
        <f t="shared" si="149"/>
        <v>12.889315068493149</v>
      </c>
      <c r="BF60" s="3">
        <f t="shared" si="150"/>
        <v>164.66099999999997</v>
      </c>
      <c r="BG60" s="3">
        <f t="shared" si="151"/>
        <v>28.227599999999999</v>
      </c>
      <c r="BH60" s="3">
        <f t="shared" si="152"/>
        <v>18.8184</v>
      </c>
      <c r="BI60" s="3">
        <f t="shared" si="153"/>
        <v>45.164160000000003</v>
      </c>
      <c r="BJ60" s="3">
        <f t="shared" si="154"/>
        <v>28227.599999999999</v>
      </c>
      <c r="BK60" s="3">
        <f t="shared" si="155"/>
        <v>1671</v>
      </c>
      <c r="BL60" s="3">
        <f t="shared" si="156"/>
        <v>1133</v>
      </c>
      <c r="BM60" s="3">
        <f t="shared" si="157"/>
        <v>0</v>
      </c>
      <c r="BN60" s="3">
        <f t="shared" si="158"/>
        <v>441.8</v>
      </c>
      <c r="BO60" s="3">
        <f t="shared" si="159"/>
        <v>1176.1499999999999</v>
      </c>
      <c r="BP60" s="3">
        <f t="shared" si="160"/>
        <v>3920.5</v>
      </c>
      <c r="BQ60" s="3">
        <f t="shared" si="161"/>
        <v>392.04999999999995</v>
      </c>
      <c r="BR60" s="3">
        <f t="shared" si="162"/>
        <v>4939.829999999999</v>
      </c>
      <c r="BS60" s="3">
        <f t="shared" si="163"/>
        <v>846.82799999999997</v>
      </c>
      <c r="BT60" s="3">
        <f t="shared" si="164"/>
        <v>564.55200000000002</v>
      </c>
      <c r="BU60" s="3">
        <f t="shared" si="165"/>
        <v>1354.9248</v>
      </c>
      <c r="BV60" s="53">
        <f t="shared" si="114"/>
        <v>338731.19999999995</v>
      </c>
      <c r="BW60" s="53">
        <f t="shared" si="115"/>
        <v>20052</v>
      </c>
      <c r="BX60" s="53">
        <f t="shared" si="116"/>
        <v>13596</v>
      </c>
      <c r="BY60" s="53">
        <f t="shared" si="117"/>
        <v>0</v>
      </c>
      <c r="BZ60" s="53">
        <f t="shared" si="118"/>
        <v>5301.6</v>
      </c>
      <c r="CA60" s="53">
        <f t="shared" si="119"/>
        <v>14113.8</v>
      </c>
      <c r="CB60" s="53">
        <f t="shared" si="120"/>
        <v>47046</v>
      </c>
      <c r="CC60" s="53">
        <f t="shared" si="121"/>
        <v>4704.5999999999995</v>
      </c>
      <c r="CD60" s="53">
        <f t="shared" si="122"/>
        <v>59277.959999999992</v>
      </c>
      <c r="CE60" s="53">
        <f t="shared" si="123"/>
        <v>10161.936</v>
      </c>
      <c r="CF60" s="53">
        <f t="shared" si="124"/>
        <v>6774.6239999999998</v>
      </c>
      <c r="CG60" s="53">
        <f t="shared" si="125"/>
        <v>16259.097600000001</v>
      </c>
      <c r="CH60" s="54">
        <f t="shared" si="126"/>
        <v>536018.81759999995</v>
      </c>
      <c r="CI60" s="46"/>
      <c r="CJ60" s="46"/>
      <c r="CK60" s="46"/>
      <c r="CL60" s="46"/>
      <c r="CM60" s="46"/>
      <c r="CN60" s="46"/>
      <c r="CO60" s="46"/>
      <c r="CP60" s="46"/>
    </row>
    <row r="61" spans="1:94" ht="27" customHeight="1" x14ac:dyDescent="0.2">
      <c r="A61" s="8">
        <v>57</v>
      </c>
      <c r="B61" s="8">
        <v>824</v>
      </c>
      <c r="C61" s="43" t="s">
        <v>81</v>
      </c>
      <c r="D61" s="44" t="str">
        <f t="shared" si="102"/>
        <v>Ortega</v>
      </c>
      <c r="E61" s="44" t="str">
        <f t="shared" si="103"/>
        <v xml:space="preserve">Minakata </v>
      </c>
      <c r="F61" s="44" t="str">
        <f t="shared" si="104"/>
        <v>Ana Teresa</v>
      </c>
      <c r="G61" s="8">
        <v>1</v>
      </c>
      <c r="H61" s="8" t="s">
        <v>80</v>
      </c>
      <c r="I61" s="45" t="s">
        <v>79</v>
      </c>
      <c r="J61" s="45" t="s">
        <v>59</v>
      </c>
      <c r="K61" s="46" t="s">
        <v>6</v>
      </c>
      <c r="L61" s="46" t="s">
        <v>17</v>
      </c>
      <c r="M61" s="46" t="s">
        <v>30</v>
      </c>
      <c r="N61" s="47" t="str">
        <f>IF(H61&gt;0,MID(H61,9,2)&amp;"/"&amp;MID(H61,7,2)&amp;"/"&amp;MID(H61,5,2),0)</f>
        <v>22/12/81</v>
      </c>
      <c r="O61" s="48">
        <f t="shared" ca="1" si="105"/>
        <v>36</v>
      </c>
      <c r="P61" s="1">
        <v>39604</v>
      </c>
      <c r="Q61" s="2" t="str">
        <f t="shared" si="106"/>
        <v>10 años, 6 meses, 26 dias.</v>
      </c>
      <c r="R61" s="2">
        <f t="shared" si="107"/>
        <v>10</v>
      </c>
      <c r="S61" s="2">
        <f t="shared" si="108"/>
        <v>126</v>
      </c>
      <c r="T61" s="2">
        <f t="shared" si="109"/>
        <v>3861</v>
      </c>
      <c r="U61" s="46" t="s">
        <v>3</v>
      </c>
      <c r="V61" s="46">
        <v>19</v>
      </c>
      <c r="W61" s="46" t="s">
        <v>16</v>
      </c>
      <c r="X61" s="46">
        <v>40</v>
      </c>
      <c r="Y61" s="46" t="s">
        <v>15</v>
      </c>
      <c r="Z61" s="46" t="s">
        <v>1</v>
      </c>
      <c r="AA61" s="49">
        <f>IF(C61="Plaza sin presupuesto",0,IF(W61="si",IF(X61=30,VLOOKUP(V61,'[1]Tablas despensa y pasaje 2018'!$A$3:$I$38,2,0),IF(PLANTILLA!X61=40,VLOOKUP(PLANTILLA!V61,'[1]Tablas despensa y pasaje 2018'!$A$3:$I$38,6,0))),IF(X61=30,VLOOKUP(V61,'[1]Tablas despensa y pasaje 2018'!$A$41:$I$48,2,0),IF(X61=40,VLOOKUP(V61,'[1]Tablas despensa y pasaje 2018'!$A$41:$I$48,6,0),0))))</f>
        <v>24533</v>
      </c>
      <c r="AB61" s="49">
        <f>IF(C61="Plaza sin presupuesto",0,IF(W61="si",IF(X61=30,VLOOKUP(V61,'[1]Tablas despensa y pasaje 2018'!$A$3:$I$38,3,0),IF(PLANTILLA!X61=40,VLOOKUP(PLANTILLA!V61,'[1]Tablas despensa y pasaje 2018'!$A$3:$I$38,7,0))),IF(X61=30,VLOOKUP(V61,'[1]Tablas despensa y pasaje 2018'!$A$41:$I$48,3,0),IF(X61=40,VLOOKUP(V61,'[1]Tablas despensa y pasaje 2018'!$A$41:$I$48,7,0),0))))</f>
        <v>1549</v>
      </c>
      <c r="AC61" s="49">
        <f>IF(C61="Plaza sin presupuesto",0,IF(W61="si",IF(X61=30,VLOOKUP(V61,'[1]Tablas despensa y pasaje 2018'!$A$3:$I$38,4,0),IF(PLANTILLA!X61=40,VLOOKUP(PLANTILLA!V61,'[1]Tablas despensa y pasaje 2018'!$A$3:$I$38,8,0))),IF(X61=30,VLOOKUP(V61,'[1]Tablas despensa y pasaje 2018'!$A$41:$I$48,4,0),IF(X61=40,VLOOKUP(V61,'[1]Tablas despensa y pasaje 2018'!$A$41:$I$48,8,0),0))))</f>
        <v>1016</v>
      </c>
      <c r="AD61" s="49">
        <f t="shared" si="110"/>
        <v>0</v>
      </c>
      <c r="AE61" s="49">
        <f t="shared" si="111"/>
        <v>265.08</v>
      </c>
      <c r="AF61" s="49">
        <f t="shared" si="127"/>
        <v>12266.5</v>
      </c>
      <c r="AG61" s="49">
        <f t="shared" si="112"/>
        <v>40888.333333333336</v>
      </c>
      <c r="AH61" s="49">
        <f t="shared" si="113"/>
        <v>4088.833333333333</v>
      </c>
      <c r="AI61" s="49">
        <f t="shared" si="128"/>
        <v>4293.2749999999996</v>
      </c>
      <c r="AJ61" s="49">
        <f t="shared" si="129"/>
        <v>735.99</v>
      </c>
      <c r="AK61" s="49">
        <f t="shared" si="130"/>
        <v>490.66</v>
      </c>
      <c r="AL61" s="49">
        <f t="shared" si="131"/>
        <v>1177.5840000000001</v>
      </c>
      <c r="AM61" s="50">
        <f>IF((SUM(AA61:AE61)/2)=0,0,(((((SUM(AA61:AE61)/2)-(VLOOKUP((SUM(AA61:AE61)/2),'[1]Tablas ISR'!$A$4:$D$14,1,TRUE)))*(VLOOKUP((SUM(AA61:AE61)/2),'[1]Tablas ISR'!$A$4:$D$14,4,TRUE)))/100)+(VLOOKUP((SUM(AA61:AE61)/2),'[1]Tablas ISR'!$A$4:$D$14,3,TRUE)))*2)</f>
        <v>4643.1414720000002</v>
      </c>
      <c r="AN61" s="51">
        <f t="shared" si="132"/>
        <v>2821.2950000000001</v>
      </c>
      <c r="AO61" s="49">
        <f t="shared" si="133"/>
        <v>12266.5</v>
      </c>
      <c r="AP61" s="49">
        <f t="shared" si="134"/>
        <v>774.5</v>
      </c>
      <c r="AQ61" s="49">
        <f t="shared" si="135"/>
        <v>508</v>
      </c>
      <c r="AR61" s="49">
        <f t="shared" si="136"/>
        <v>0</v>
      </c>
      <c r="AS61" s="49">
        <f t="shared" si="137"/>
        <v>132.54</v>
      </c>
      <c r="AT61" s="49">
        <f t="shared" si="138"/>
        <v>2146.6374999999998</v>
      </c>
      <c r="AU61" s="49">
        <f t="shared" si="139"/>
        <v>367.995</v>
      </c>
      <c r="AV61" s="49">
        <f t="shared" si="140"/>
        <v>588.79200000000003</v>
      </c>
      <c r="AW61" s="52">
        <f t="shared" si="141"/>
        <v>9949.3217640000003</v>
      </c>
      <c r="AX61" s="3">
        <f t="shared" si="142"/>
        <v>817.76666666666665</v>
      </c>
      <c r="AY61" s="3">
        <f t="shared" si="143"/>
        <v>51.633333333333333</v>
      </c>
      <c r="AZ61" s="3">
        <f t="shared" si="144"/>
        <v>33.866666666666667</v>
      </c>
      <c r="BA61" s="3">
        <f t="shared" si="145"/>
        <v>0</v>
      </c>
      <c r="BB61" s="3">
        <f t="shared" si="146"/>
        <v>8.8360000000000003</v>
      </c>
      <c r="BC61" s="3">
        <f t="shared" si="147"/>
        <v>33.606849315068494</v>
      </c>
      <c r="BD61" s="3">
        <f t="shared" si="148"/>
        <v>112.02283105022832</v>
      </c>
      <c r="BE61" s="3">
        <f t="shared" si="149"/>
        <v>11.202283105022831</v>
      </c>
      <c r="BF61" s="3">
        <f t="shared" si="150"/>
        <v>143.10916666666665</v>
      </c>
      <c r="BG61" s="3">
        <f t="shared" si="151"/>
        <v>24.533000000000001</v>
      </c>
      <c r="BH61" s="3">
        <f t="shared" si="152"/>
        <v>16.355333333333334</v>
      </c>
      <c r="BI61" s="3">
        <f t="shared" si="153"/>
        <v>39.252800000000001</v>
      </c>
      <c r="BJ61" s="3">
        <f t="shared" si="154"/>
        <v>24533</v>
      </c>
      <c r="BK61" s="3">
        <f t="shared" si="155"/>
        <v>1549</v>
      </c>
      <c r="BL61" s="3">
        <f t="shared" si="156"/>
        <v>1016</v>
      </c>
      <c r="BM61" s="3">
        <f t="shared" si="157"/>
        <v>0</v>
      </c>
      <c r="BN61" s="3">
        <f t="shared" si="158"/>
        <v>265.08</v>
      </c>
      <c r="BO61" s="3">
        <f t="shared" si="159"/>
        <v>1022.2083333333334</v>
      </c>
      <c r="BP61" s="3">
        <f t="shared" si="160"/>
        <v>3407.3611111111113</v>
      </c>
      <c r="BQ61" s="3">
        <f t="shared" si="161"/>
        <v>340.73611111111109</v>
      </c>
      <c r="BR61" s="3">
        <f t="shared" si="162"/>
        <v>4293.2749999999996</v>
      </c>
      <c r="BS61" s="3">
        <f t="shared" si="163"/>
        <v>735.99</v>
      </c>
      <c r="BT61" s="3">
        <f t="shared" si="164"/>
        <v>490.66</v>
      </c>
      <c r="BU61" s="3">
        <f t="shared" si="165"/>
        <v>1177.5840000000001</v>
      </c>
      <c r="BV61" s="53">
        <f t="shared" si="114"/>
        <v>294396</v>
      </c>
      <c r="BW61" s="53">
        <f t="shared" si="115"/>
        <v>18588</v>
      </c>
      <c r="BX61" s="53">
        <f t="shared" si="116"/>
        <v>12192</v>
      </c>
      <c r="BY61" s="53">
        <f t="shared" si="117"/>
        <v>0</v>
      </c>
      <c r="BZ61" s="53">
        <f t="shared" si="118"/>
        <v>3180.96</v>
      </c>
      <c r="CA61" s="53">
        <f t="shared" si="119"/>
        <v>12266.5</v>
      </c>
      <c r="CB61" s="53">
        <f t="shared" si="120"/>
        <v>40888.333333333336</v>
      </c>
      <c r="CC61" s="53">
        <f t="shared" si="121"/>
        <v>4088.833333333333</v>
      </c>
      <c r="CD61" s="53">
        <f t="shared" si="122"/>
        <v>51519.299999999996</v>
      </c>
      <c r="CE61" s="53">
        <f t="shared" si="123"/>
        <v>8831.880000000001</v>
      </c>
      <c r="CF61" s="53">
        <f t="shared" si="124"/>
        <v>5887.92</v>
      </c>
      <c r="CG61" s="53">
        <f t="shared" si="125"/>
        <v>14131.008000000002</v>
      </c>
      <c r="CH61" s="54">
        <f t="shared" si="126"/>
        <v>465970.7346666666</v>
      </c>
      <c r="CI61" s="46"/>
      <c r="CJ61" s="46"/>
      <c r="CK61" s="46"/>
      <c r="CL61" s="46"/>
      <c r="CM61" s="46"/>
      <c r="CN61" s="46"/>
      <c r="CO61" s="46"/>
      <c r="CP61" s="46"/>
    </row>
    <row r="62" spans="1:94" ht="27" customHeight="1" x14ac:dyDescent="0.2">
      <c r="A62" s="8">
        <v>58</v>
      </c>
      <c r="B62" s="8">
        <v>825</v>
      </c>
      <c r="C62" s="43" t="s">
        <v>78</v>
      </c>
      <c r="D62" s="44" t="str">
        <f t="shared" si="102"/>
        <v>Ramirez</v>
      </c>
      <c r="E62" s="44" t="str">
        <f t="shared" si="103"/>
        <v xml:space="preserve">Aceves </v>
      </c>
      <c r="F62" s="44" t="str">
        <f t="shared" si="104"/>
        <v>Edgar Daniel</v>
      </c>
      <c r="G62" s="8">
        <v>2</v>
      </c>
      <c r="H62" s="8" t="s">
        <v>77</v>
      </c>
      <c r="I62" s="45" t="s">
        <v>76</v>
      </c>
      <c r="J62" s="45" t="s">
        <v>59</v>
      </c>
      <c r="K62" s="46" t="s">
        <v>6</v>
      </c>
      <c r="L62" s="46" t="s">
        <v>5</v>
      </c>
      <c r="M62" s="46" t="s">
        <v>22</v>
      </c>
      <c r="N62" s="47" t="str">
        <f>IF(H62&gt;0,MID(H62,9,2)&amp;"/"&amp;MID(H62,7,2)&amp;"/"&amp;MID(H62,5,2),0)</f>
        <v>12/10/82</v>
      </c>
      <c r="O62" s="48">
        <f t="shared" ca="1" si="105"/>
        <v>35</v>
      </c>
      <c r="P62" s="1">
        <v>41867</v>
      </c>
      <c r="Q62" s="2" t="str">
        <f t="shared" si="106"/>
        <v>4 años, 4 meses, 15 dias.</v>
      </c>
      <c r="R62" s="2">
        <f t="shared" si="107"/>
        <v>4</v>
      </c>
      <c r="S62" s="2">
        <f t="shared" si="108"/>
        <v>52</v>
      </c>
      <c r="T62" s="2">
        <f t="shared" si="109"/>
        <v>1598</v>
      </c>
      <c r="U62" s="46" t="s">
        <v>3</v>
      </c>
      <c r="V62" s="46">
        <v>19</v>
      </c>
      <c r="W62" s="46" t="s">
        <v>16</v>
      </c>
      <c r="X62" s="46">
        <v>40</v>
      </c>
      <c r="Y62" s="46" t="s">
        <v>15</v>
      </c>
      <c r="Z62" s="46" t="s">
        <v>1</v>
      </c>
      <c r="AA62" s="49">
        <f>IF(C62="Plaza sin presupuesto",0,IF(W62="si",IF(X62=30,VLOOKUP(V62,'[1]Tablas despensa y pasaje 2018'!$A$3:$I$38,2,0),IF(PLANTILLA!X62=40,VLOOKUP(PLANTILLA!V62,'[1]Tablas despensa y pasaje 2018'!$A$3:$I$38,6,0))),IF(X62=30,VLOOKUP(V62,'[1]Tablas despensa y pasaje 2018'!$A$41:$I$48,2,0),IF(X62=40,VLOOKUP(V62,'[1]Tablas despensa y pasaje 2018'!$A$41:$I$48,6,0),0))))</f>
        <v>24533</v>
      </c>
      <c r="AB62" s="49">
        <f>IF(C62="Plaza sin presupuesto",0,IF(W62="si",IF(X62=30,VLOOKUP(V62,'[1]Tablas despensa y pasaje 2018'!$A$3:$I$38,3,0),IF(PLANTILLA!X62=40,VLOOKUP(PLANTILLA!V62,'[1]Tablas despensa y pasaje 2018'!$A$3:$I$38,7,0))),IF(X62=30,VLOOKUP(V62,'[1]Tablas despensa y pasaje 2018'!$A$41:$I$48,3,0),IF(X62=40,VLOOKUP(V62,'[1]Tablas despensa y pasaje 2018'!$A$41:$I$48,7,0),0))))</f>
        <v>1549</v>
      </c>
      <c r="AC62" s="49">
        <f>IF(C62="Plaza sin presupuesto",0,IF(W62="si",IF(X62=30,VLOOKUP(V62,'[1]Tablas despensa y pasaje 2018'!$A$3:$I$38,4,0),IF(PLANTILLA!X62=40,VLOOKUP(PLANTILLA!V62,'[1]Tablas despensa y pasaje 2018'!$A$3:$I$38,8,0))),IF(X62=30,VLOOKUP(V62,'[1]Tablas despensa y pasaje 2018'!$A$41:$I$48,4,0),IF(X62=40,VLOOKUP(V62,'[1]Tablas despensa y pasaje 2018'!$A$41:$I$48,8,0),0))))</f>
        <v>1016</v>
      </c>
      <c r="AD62" s="49">
        <f t="shared" si="110"/>
        <v>0</v>
      </c>
      <c r="AE62" s="49">
        <f t="shared" si="111"/>
        <v>0</v>
      </c>
      <c r="AF62" s="49">
        <f t="shared" si="127"/>
        <v>12266.5</v>
      </c>
      <c r="AG62" s="49">
        <f t="shared" si="112"/>
        <v>40888.333333333336</v>
      </c>
      <c r="AH62" s="49">
        <f t="shared" si="113"/>
        <v>4088.833333333333</v>
      </c>
      <c r="AI62" s="49">
        <f t="shared" si="128"/>
        <v>4293.2749999999996</v>
      </c>
      <c r="AJ62" s="49">
        <f t="shared" si="129"/>
        <v>735.99</v>
      </c>
      <c r="AK62" s="49">
        <f t="shared" si="130"/>
        <v>490.66</v>
      </c>
      <c r="AL62" s="49">
        <f t="shared" si="131"/>
        <v>1177.5840000000001</v>
      </c>
      <c r="AM62" s="50">
        <f>IF((SUM(AA62:AE62)/2)=0,0,(((((SUM(AA62:AE62)/2)-(VLOOKUP((SUM(AA62:AE62)/2),'[1]Tablas ISR'!$A$4:$D$14,1,TRUE)))*(VLOOKUP((SUM(AA62:AE62)/2),'[1]Tablas ISR'!$A$4:$D$14,4,TRUE)))/100)+(VLOOKUP((SUM(AA62:AE62)/2),'[1]Tablas ISR'!$A$4:$D$14,3,TRUE)))*2)</f>
        <v>4580.794656</v>
      </c>
      <c r="AN62" s="51">
        <f t="shared" si="132"/>
        <v>2821.2950000000001</v>
      </c>
      <c r="AO62" s="49">
        <f t="shared" si="133"/>
        <v>12266.5</v>
      </c>
      <c r="AP62" s="49">
        <f t="shared" si="134"/>
        <v>774.5</v>
      </c>
      <c r="AQ62" s="49">
        <f t="shared" si="135"/>
        <v>508</v>
      </c>
      <c r="AR62" s="49">
        <f t="shared" si="136"/>
        <v>0</v>
      </c>
      <c r="AS62" s="49">
        <f t="shared" si="137"/>
        <v>0</v>
      </c>
      <c r="AT62" s="49">
        <f t="shared" si="138"/>
        <v>2146.6374999999998</v>
      </c>
      <c r="AU62" s="49">
        <f t="shared" si="139"/>
        <v>367.995</v>
      </c>
      <c r="AV62" s="49">
        <f t="shared" si="140"/>
        <v>588.79200000000003</v>
      </c>
      <c r="AW62" s="52">
        <f t="shared" si="141"/>
        <v>9847.9551720000018</v>
      </c>
      <c r="AX62" s="3">
        <f t="shared" si="142"/>
        <v>817.76666666666665</v>
      </c>
      <c r="AY62" s="3">
        <f t="shared" si="143"/>
        <v>51.633333333333333</v>
      </c>
      <c r="AZ62" s="3">
        <f t="shared" si="144"/>
        <v>33.866666666666667</v>
      </c>
      <c r="BA62" s="3">
        <f t="shared" si="145"/>
        <v>0</v>
      </c>
      <c r="BB62" s="3">
        <f t="shared" si="146"/>
        <v>0</v>
      </c>
      <c r="BC62" s="3">
        <f t="shared" si="147"/>
        <v>33.606849315068494</v>
      </c>
      <c r="BD62" s="3">
        <f t="shared" si="148"/>
        <v>112.02283105022832</v>
      </c>
      <c r="BE62" s="3">
        <f t="shared" si="149"/>
        <v>11.202283105022831</v>
      </c>
      <c r="BF62" s="3">
        <f t="shared" si="150"/>
        <v>143.10916666666665</v>
      </c>
      <c r="BG62" s="3">
        <f t="shared" si="151"/>
        <v>24.533000000000001</v>
      </c>
      <c r="BH62" s="3">
        <f t="shared" si="152"/>
        <v>16.355333333333334</v>
      </c>
      <c r="BI62" s="3">
        <f t="shared" si="153"/>
        <v>39.252800000000001</v>
      </c>
      <c r="BJ62" s="3">
        <f t="shared" si="154"/>
        <v>24533</v>
      </c>
      <c r="BK62" s="3">
        <f t="shared" si="155"/>
        <v>1549</v>
      </c>
      <c r="BL62" s="3">
        <f t="shared" si="156"/>
        <v>1016</v>
      </c>
      <c r="BM62" s="3">
        <f t="shared" si="157"/>
        <v>0</v>
      </c>
      <c r="BN62" s="3">
        <f t="shared" si="158"/>
        <v>0</v>
      </c>
      <c r="BO62" s="3">
        <f t="shared" si="159"/>
        <v>1022.2083333333334</v>
      </c>
      <c r="BP62" s="3">
        <f t="shared" si="160"/>
        <v>3407.3611111111113</v>
      </c>
      <c r="BQ62" s="3">
        <f t="shared" si="161"/>
        <v>340.73611111111109</v>
      </c>
      <c r="BR62" s="3">
        <f t="shared" si="162"/>
        <v>4293.2749999999996</v>
      </c>
      <c r="BS62" s="3">
        <f t="shared" si="163"/>
        <v>735.99</v>
      </c>
      <c r="BT62" s="3">
        <f t="shared" si="164"/>
        <v>490.66</v>
      </c>
      <c r="BU62" s="3">
        <f t="shared" si="165"/>
        <v>1177.5840000000001</v>
      </c>
      <c r="BV62" s="53">
        <f t="shared" si="114"/>
        <v>294396</v>
      </c>
      <c r="BW62" s="53">
        <f t="shared" si="115"/>
        <v>18588</v>
      </c>
      <c r="BX62" s="53">
        <f t="shared" si="116"/>
        <v>12192</v>
      </c>
      <c r="BY62" s="53">
        <f t="shared" si="117"/>
        <v>0</v>
      </c>
      <c r="BZ62" s="53">
        <f t="shared" si="118"/>
        <v>0</v>
      </c>
      <c r="CA62" s="53">
        <f t="shared" si="119"/>
        <v>12266.5</v>
      </c>
      <c r="CB62" s="53">
        <f t="shared" si="120"/>
        <v>40888.333333333336</v>
      </c>
      <c r="CC62" s="53">
        <f t="shared" si="121"/>
        <v>4088.833333333333</v>
      </c>
      <c r="CD62" s="53">
        <f t="shared" si="122"/>
        <v>51519.299999999996</v>
      </c>
      <c r="CE62" s="53">
        <f t="shared" si="123"/>
        <v>8831.880000000001</v>
      </c>
      <c r="CF62" s="53">
        <f t="shared" si="124"/>
        <v>5887.92</v>
      </c>
      <c r="CG62" s="53">
        <f t="shared" si="125"/>
        <v>14131.008000000002</v>
      </c>
      <c r="CH62" s="54">
        <f t="shared" si="126"/>
        <v>462789.77466666664</v>
      </c>
      <c r="CI62" s="46"/>
      <c r="CJ62" s="46"/>
      <c r="CK62" s="46"/>
      <c r="CL62" s="46"/>
      <c r="CM62" s="46"/>
      <c r="CN62" s="46"/>
      <c r="CO62" s="46"/>
      <c r="CP62" s="46"/>
    </row>
    <row r="63" spans="1:94" ht="27" customHeight="1" x14ac:dyDescent="0.2">
      <c r="A63" s="8">
        <v>59</v>
      </c>
      <c r="B63" s="8">
        <v>826</v>
      </c>
      <c r="C63" s="43" t="s">
        <v>75</v>
      </c>
      <c r="D63" s="44" t="str">
        <f t="shared" si="102"/>
        <v>Gomez</v>
      </c>
      <c r="E63" s="44" t="str">
        <f t="shared" si="103"/>
        <v xml:space="preserve">Mora </v>
      </c>
      <c r="F63" s="44" t="str">
        <f t="shared" si="104"/>
        <v>Ivan</v>
      </c>
      <c r="G63" s="8">
        <v>1</v>
      </c>
      <c r="H63" s="8" t="s">
        <v>74</v>
      </c>
      <c r="I63" s="45" t="s">
        <v>73</v>
      </c>
      <c r="J63" s="45" t="s">
        <v>59</v>
      </c>
      <c r="K63" s="46" t="s">
        <v>6</v>
      </c>
      <c r="L63" s="46" t="s">
        <v>5</v>
      </c>
      <c r="M63" s="46" t="s">
        <v>22</v>
      </c>
      <c r="N63" s="47" t="str">
        <f>IF(H63&gt;0,MID(H63,9,2)&amp;"/"&amp;MID(H63,7,2)&amp;"/"&amp;MID(H63,5,2),0)</f>
        <v>21/04/76</v>
      </c>
      <c r="O63" s="48">
        <f t="shared" ca="1" si="105"/>
        <v>41</v>
      </c>
      <c r="P63" s="1">
        <v>37088</v>
      </c>
      <c r="Q63" s="2" t="str">
        <f t="shared" si="106"/>
        <v>17 años, 5 meses, 15 dias.</v>
      </c>
      <c r="R63" s="2">
        <f t="shared" si="107"/>
        <v>17</v>
      </c>
      <c r="S63" s="2">
        <f t="shared" si="108"/>
        <v>209</v>
      </c>
      <c r="T63" s="2">
        <f t="shared" si="109"/>
        <v>6377</v>
      </c>
      <c r="U63" s="46" t="s">
        <v>3</v>
      </c>
      <c r="V63" s="46">
        <v>19</v>
      </c>
      <c r="W63" s="46" t="s">
        <v>16</v>
      </c>
      <c r="X63" s="46">
        <v>40</v>
      </c>
      <c r="Y63" s="46" t="s">
        <v>15</v>
      </c>
      <c r="Z63" s="46" t="s">
        <v>1</v>
      </c>
      <c r="AA63" s="49">
        <f>IF(C63="Plaza sin presupuesto",0,IF(W63="si",IF(X63=30,VLOOKUP(V63,'[1]Tablas despensa y pasaje 2018'!$A$3:$I$38,2,0),IF(PLANTILLA!X63=40,VLOOKUP(PLANTILLA!V63,'[1]Tablas despensa y pasaje 2018'!$A$3:$I$38,6,0))),IF(X63=30,VLOOKUP(V63,'[1]Tablas despensa y pasaje 2018'!$A$41:$I$48,2,0),IF(X63=40,VLOOKUP(V63,'[1]Tablas despensa y pasaje 2018'!$A$41:$I$48,6,0),0))))</f>
        <v>24533</v>
      </c>
      <c r="AB63" s="49">
        <f>IF(C63="Plaza sin presupuesto",0,IF(W63="si",IF(X63=30,VLOOKUP(V63,'[1]Tablas despensa y pasaje 2018'!$A$3:$I$38,3,0),IF(PLANTILLA!X63=40,VLOOKUP(PLANTILLA!V63,'[1]Tablas despensa y pasaje 2018'!$A$3:$I$38,7,0))),IF(X63=30,VLOOKUP(V63,'[1]Tablas despensa y pasaje 2018'!$A$41:$I$48,3,0),IF(X63=40,VLOOKUP(V63,'[1]Tablas despensa y pasaje 2018'!$A$41:$I$48,7,0),0))))</f>
        <v>1549</v>
      </c>
      <c r="AC63" s="49">
        <f>IF(C63="Plaza sin presupuesto",0,IF(W63="si",IF(X63=30,VLOOKUP(V63,'[1]Tablas despensa y pasaje 2018'!$A$3:$I$38,4,0),IF(PLANTILLA!X63=40,VLOOKUP(PLANTILLA!V63,'[1]Tablas despensa y pasaje 2018'!$A$3:$I$38,8,0))),IF(X63=30,VLOOKUP(V63,'[1]Tablas despensa y pasaje 2018'!$A$41:$I$48,4,0),IF(X63=40,VLOOKUP(V63,'[1]Tablas despensa y pasaje 2018'!$A$41:$I$48,8,0),0))))</f>
        <v>1016</v>
      </c>
      <c r="AD63" s="49">
        <f t="shared" si="110"/>
        <v>0</v>
      </c>
      <c r="AE63" s="49">
        <f t="shared" si="111"/>
        <v>353.44</v>
      </c>
      <c r="AF63" s="49">
        <f t="shared" si="127"/>
        <v>12266.5</v>
      </c>
      <c r="AG63" s="49">
        <f t="shared" si="112"/>
        <v>40888.333333333336</v>
      </c>
      <c r="AH63" s="49">
        <f t="shared" si="113"/>
        <v>4088.833333333333</v>
      </c>
      <c r="AI63" s="49">
        <f t="shared" si="128"/>
        <v>4293.2749999999996</v>
      </c>
      <c r="AJ63" s="49">
        <f t="shared" si="129"/>
        <v>735.99</v>
      </c>
      <c r="AK63" s="49">
        <f t="shared" si="130"/>
        <v>490.66</v>
      </c>
      <c r="AL63" s="49">
        <f t="shared" si="131"/>
        <v>1177.5840000000001</v>
      </c>
      <c r="AM63" s="50">
        <f>IF((SUM(AA63:AE63)/2)=0,0,(((((SUM(AA63:AE63)/2)-(VLOOKUP((SUM(AA63:AE63)/2),'[1]Tablas ISR'!$A$4:$D$14,1,TRUE)))*(VLOOKUP((SUM(AA63:AE63)/2),'[1]Tablas ISR'!$A$4:$D$14,4,TRUE)))/100)+(VLOOKUP((SUM(AA63:AE63)/2),'[1]Tablas ISR'!$A$4:$D$14,3,TRUE)))*2)</f>
        <v>4663.9237439999997</v>
      </c>
      <c r="AN63" s="51">
        <f t="shared" si="132"/>
        <v>2821.2950000000001</v>
      </c>
      <c r="AO63" s="49">
        <f t="shared" si="133"/>
        <v>12266.5</v>
      </c>
      <c r="AP63" s="49">
        <f t="shared" si="134"/>
        <v>774.5</v>
      </c>
      <c r="AQ63" s="49">
        <f t="shared" si="135"/>
        <v>508</v>
      </c>
      <c r="AR63" s="49">
        <f t="shared" si="136"/>
        <v>0</v>
      </c>
      <c r="AS63" s="49">
        <f t="shared" si="137"/>
        <v>176.72</v>
      </c>
      <c r="AT63" s="49">
        <f t="shared" si="138"/>
        <v>2146.6374999999998</v>
      </c>
      <c r="AU63" s="49">
        <f t="shared" si="139"/>
        <v>367.995</v>
      </c>
      <c r="AV63" s="49">
        <f t="shared" si="140"/>
        <v>588.79200000000003</v>
      </c>
      <c r="AW63" s="52">
        <f t="shared" si="141"/>
        <v>9983.1106279999985</v>
      </c>
      <c r="AX63" s="3">
        <f t="shared" si="142"/>
        <v>817.76666666666665</v>
      </c>
      <c r="AY63" s="3">
        <f t="shared" si="143"/>
        <v>51.633333333333333</v>
      </c>
      <c r="AZ63" s="3">
        <f t="shared" si="144"/>
        <v>33.866666666666667</v>
      </c>
      <c r="BA63" s="3">
        <f t="shared" si="145"/>
        <v>0</v>
      </c>
      <c r="BB63" s="3">
        <f t="shared" si="146"/>
        <v>11.781333333333333</v>
      </c>
      <c r="BC63" s="3">
        <f t="shared" si="147"/>
        <v>33.606849315068494</v>
      </c>
      <c r="BD63" s="3">
        <f t="shared" si="148"/>
        <v>112.02283105022832</v>
      </c>
      <c r="BE63" s="3">
        <f t="shared" si="149"/>
        <v>11.202283105022831</v>
      </c>
      <c r="BF63" s="3">
        <f t="shared" si="150"/>
        <v>143.10916666666665</v>
      </c>
      <c r="BG63" s="3">
        <f t="shared" si="151"/>
        <v>24.533000000000001</v>
      </c>
      <c r="BH63" s="3">
        <f t="shared" si="152"/>
        <v>16.355333333333334</v>
      </c>
      <c r="BI63" s="3">
        <f t="shared" si="153"/>
        <v>39.252800000000001</v>
      </c>
      <c r="BJ63" s="3">
        <f t="shared" si="154"/>
        <v>24533</v>
      </c>
      <c r="BK63" s="3">
        <f t="shared" si="155"/>
        <v>1549</v>
      </c>
      <c r="BL63" s="3">
        <f t="shared" si="156"/>
        <v>1016</v>
      </c>
      <c r="BM63" s="3">
        <f t="shared" si="157"/>
        <v>0</v>
      </c>
      <c r="BN63" s="3">
        <f t="shared" si="158"/>
        <v>353.44</v>
      </c>
      <c r="BO63" s="3">
        <f t="shared" si="159"/>
        <v>1022.2083333333334</v>
      </c>
      <c r="BP63" s="3">
        <f t="shared" si="160"/>
        <v>3407.3611111111113</v>
      </c>
      <c r="BQ63" s="3">
        <f t="shared" si="161"/>
        <v>340.73611111111109</v>
      </c>
      <c r="BR63" s="3">
        <f t="shared" si="162"/>
        <v>4293.2749999999996</v>
      </c>
      <c r="BS63" s="3">
        <f t="shared" si="163"/>
        <v>735.99</v>
      </c>
      <c r="BT63" s="3">
        <f t="shared" si="164"/>
        <v>490.66</v>
      </c>
      <c r="BU63" s="3">
        <f t="shared" si="165"/>
        <v>1177.5840000000001</v>
      </c>
      <c r="BV63" s="53">
        <f t="shared" si="114"/>
        <v>294396</v>
      </c>
      <c r="BW63" s="53">
        <f t="shared" si="115"/>
        <v>18588</v>
      </c>
      <c r="BX63" s="53">
        <f t="shared" si="116"/>
        <v>12192</v>
      </c>
      <c r="BY63" s="53">
        <f t="shared" si="117"/>
        <v>0</v>
      </c>
      <c r="BZ63" s="53">
        <f t="shared" si="118"/>
        <v>4241.28</v>
      </c>
      <c r="CA63" s="53">
        <f t="shared" si="119"/>
        <v>12266.5</v>
      </c>
      <c r="CB63" s="53">
        <f t="shared" si="120"/>
        <v>40888.333333333336</v>
      </c>
      <c r="CC63" s="53">
        <f t="shared" si="121"/>
        <v>4088.833333333333</v>
      </c>
      <c r="CD63" s="53">
        <f t="shared" si="122"/>
        <v>51519.299999999996</v>
      </c>
      <c r="CE63" s="53">
        <f t="shared" si="123"/>
        <v>8831.880000000001</v>
      </c>
      <c r="CF63" s="53">
        <f t="shared" si="124"/>
        <v>5887.92</v>
      </c>
      <c r="CG63" s="53">
        <f t="shared" si="125"/>
        <v>14131.008000000002</v>
      </c>
      <c r="CH63" s="54">
        <f t="shared" si="126"/>
        <v>467031.05466666666</v>
      </c>
      <c r="CI63" s="46"/>
      <c r="CJ63" s="46"/>
      <c r="CK63" s="46"/>
      <c r="CL63" s="46"/>
      <c r="CM63" s="46"/>
      <c r="CN63" s="46"/>
      <c r="CO63" s="46"/>
      <c r="CP63" s="46"/>
    </row>
    <row r="64" spans="1:94" ht="27" customHeight="1" x14ac:dyDescent="0.2">
      <c r="A64" s="8">
        <v>60</v>
      </c>
      <c r="B64" s="8">
        <v>889</v>
      </c>
      <c r="C64" s="43" t="s">
        <v>72</v>
      </c>
      <c r="D64" s="44" t="str">
        <f t="shared" si="102"/>
        <v>Tadeo</v>
      </c>
      <c r="E64" s="44" t="str">
        <f t="shared" si="103"/>
        <v xml:space="preserve">De </v>
      </c>
      <c r="F64" s="44" t="str">
        <f t="shared" si="104"/>
        <v>La Torre Miroslava</v>
      </c>
      <c r="G64" s="8">
        <v>1</v>
      </c>
      <c r="H64" s="8" t="s">
        <v>71</v>
      </c>
      <c r="I64" s="45" t="s">
        <v>70</v>
      </c>
      <c r="J64" s="45" t="s">
        <v>59</v>
      </c>
      <c r="K64" s="46" t="s">
        <v>23</v>
      </c>
      <c r="L64" s="46" t="s">
        <v>17</v>
      </c>
      <c r="M64" s="46" t="s">
        <v>30</v>
      </c>
      <c r="N64" s="47" t="str">
        <f>IF(H64&gt;0,MID(H64,9,2)&amp;"/"&amp;MID(H64,7,2)&amp;"/"&amp;MID(H64,5,2),0)</f>
        <v>21/05/83</v>
      </c>
      <c r="O64" s="48">
        <f t="shared" ca="1" si="105"/>
        <v>34</v>
      </c>
      <c r="P64" s="7">
        <v>42223</v>
      </c>
      <c r="Q64" s="2" t="str">
        <f t="shared" si="106"/>
        <v>3 años, 4 meses, 24 dias.</v>
      </c>
      <c r="R64" s="2">
        <f t="shared" si="107"/>
        <v>3</v>
      </c>
      <c r="S64" s="2">
        <f t="shared" si="108"/>
        <v>40</v>
      </c>
      <c r="T64" s="2">
        <f t="shared" si="109"/>
        <v>1242</v>
      </c>
      <c r="U64" s="46" t="s">
        <v>3</v>
      </c>
      <c r="V64" s="46">
        <v>18</v>
      </c>
      <c r="W64" s="46" t="s">
        <v>16</v>
      </c>
      <c r="X64" s="46">
        <v>40</v>
      </c>
      <c r="Y64" s="46" t="s">
        <v>15</v>
      </c>
      <c r="Z64" s="46" t="s">
        <v>1</v>
      </c>
      <c r="AA64" s="49">
        <f>IF(C64="Plaza sin presupuesto",0,IF(W64="si",IF(X64=30,VLOOKUP(V64,'[1]Tablas despensa y pasaje 2018'!$A$3:$I$38,2,0),IF(PLANTILLA!X64=40,VLOOKUP(PLANTILLA!V64,'[1]Tablas despensa y pasaje 2018'!$A$3:$I$38,6,0))),IF(X64=30,VLOOKUP(V64,'[1]Tablas despensa y pasaje 2018'!$A$41:$I$48,2,0),IF(X64=40,VLOOKUP(V64,'[1]Tablas despensa y pasaje 2018'!$A$41:$I$48,6,0),0))))</f>
        <v>22186</v>
      </c>
      <c r="AB64" s="49">
        <f>IF(C64="Plaza sin presupuesto",0,IF(W64="si",IF(X64=30,VLOOKUP(V64,'[1]Tablas despensa y pasaje 2018'!$A$3:$I$38,3,0),IF(PLANTILLA!X64=40,VLOOKUP(PLANTILLA!V64,'[1]Tablas despensa y pasaje 2018'!$A$3:$I$38,7,0))),IF(X64=30,VLOOKUP(V64,'[1]Tablas despensa y pasaje 2018'!$A$41:$I$48,3,0),IF(X64=40,VLOOKUP(V64,'[1]Tablas despensa y pasaje 2018'!$A$41:$I$48,7,0),0))))</f>
        <v>1465</v>
      </c>
      <c r="AC64" s="49">
        <f>IF(C64="Plaza sin presupuesto",0,IF(W64="si",IF(X64=30,VLOOKUP(V64,'[1]Tablas despensa y pasaje 2018'!$A$3:$I$38,4,0),IF(PLANTILLA!X64=40,VLOOKUP(PLANTILLA!V64,'[1]Tablas despensa y pasaje 2018'!$A$3:$I$38,8,0))),IF(X64=30,VLOOKUP(V64,'[1]Tablas despensa y pasaje 2018'!$A$41:$I$48,4,0),IF(X64=40,VLOOKUP(V64,'[1]Tablas despensa y pasaje 2018'!$A$41:$I$48,8,0),0))))</f>
        <v>987</v>
      </c>
      <c r="AD64" s="49">
        <f t="shared" si="110"/>
        <v>0</v>
      </c>
      <c r="AE64" s="49">
        <f t="shared" si="111"/>
        <v>0</v>
      </c>
      <c r="AF64" s="49">
        <f t="shared" si="127"/>
        <v>11093</v>
      </c>
      <c r="AG64" s="49">
        <f t="shared" si="112"/>
        <v>36976.666666666664</v>
      </c>
      <c r="AH64" s="49">
        <f t="shared" si="113"/>
        <v>3697.6666666666665</v>
      </c>
      <c r="AI64" s="49">
        <f t="shared" si="128"/>
        <v>3882.5499999999997</v>
      </c>
      <c r="AJ64" s="49">
        <f t="shared" si="129"/>
        <v>665.57999999999993</v>
      </c>
      <c r="AK64" s="49">
        <f t="shared" si="130"/>
        <v>443.72</v>
      </c>
      <c r="AL64" s="49">
        <f t="shared" si="131"/>
        <v>1064.9280000000001</v>
      </c>
      <c r="AM64" s="50">
        <f>IF((SUM(AA64:AE64)/2)=0,0,(((((SUM(AA64:AE64)/2)-(VLOOKUP((SUM(AA64:AE64)/2),'[1]Tablas ISR'!$A$4:$D$14,1,TRUE)))*(VLOOKUP((SUM(AA64:AE64)/2),'[1]Tablas ISR'!$A$4:$D$14,4,TRUE)))/100)+(VLOOKUP((SUM(AA64:AE64)/2),'[1]Tablas ISR'!$A$4:$D$14,3,TRUE)))*2)</f>
        <v>4002.2026559999999</v>
      </c>
      <c r="AN64" s="51">
        <f t="shared" si="132"/>
        <v>2551.3900000000003</v>
      </c>
      <c r="AO64" s="49">
        <f t="shared" si="133"/>
        <v>11093</v>
      </c>
      <c r="AP64" s="49">
        <f t="shared" si="134"/>
        <v>732.5</v>
      </c>
      <c r="AQ64" s="49">
        <f t="shared" si="135"/>
        <v>493.5</v>
      </c>
      <c r="AR64" s="49">
        <f t="shared" si="136"/>
        <v>0</v>
      </c>
      <c r="AS64" s="49">
        <f t="shared" si="137"/>
        <v>0</v>
      </c>
      <c r="AT64" s="49">
        <f t="shared" si="138"/>
        <v>1941.2749999999999</v>
      </c>
      <c r="AU64" s="49">
        <f t="shared" si="139"/>
        <v>332.78999999999996</v>
      </c>
      <c r="AV64" s="49">
        <f t="shared" si="140"/>
        <v>532.46400000000006</v>
      </c>
      <c r="AW64" s="52">
        <f t="shared" si="141"/>
        <v>9042.2036719999996</v>
      </c>
      <c r="AX64" s="3">
        <f t="shared" si="142"/>
        <v>739.5333333333333</v>
      </c>
      <c r="AY64" s="3">
        <f t="shared" si="143"/>
        <v>48.833333333333336</v>
      </c>
      <c r="AZ64" s="3">
        <f t="shared" si="144"/>
        <v>32.9</v>
      </c>
      <c r="BA64" s="3">
        <f t="shared" si="145"/>
        <v>0</v>
      </c>
      <c r="BB64" s="3">
        <f t="shared" si="146"/>
        <v>0</v>
      </c>
      <c r="BC64" s="3">
        <f t="shared" si="147"/>
        <v>30.391780821917809</v>
      </c>
      <c r="BD64" s="3">
        <f t="shared" si="148"/>
        <v>101.30593607305936</v>
      </c>
      <c r="BE64" s="3">
        <f t="shared" si="149"/>
        <v>10.130593607305936</v>
      </c>
      <c r="BF64" s="3">
        <f t="shared" si="150"/>
        <v>129.41833333333332</v>
      </c>
      <c r="BG64" s="3">
        <f t="shared" si="151"/>
        <v>22.185999999999996</v>
      </c>
      <c r="BH64" s="3">
        <f t="shared" si="152"/>
        <v>14.790666666666668</v>
      </c>
      <c r="BI64" s="3">
        <f t="shared" si="153"/>
        <v>35.497600000000006</v>
      </c>
      <c r="BJ64" s="3">
        <f t="shared" si="154"/>
        <v>22186</v>
      </c>
      <c r="BK64" s="3">
        <f t="shared" si="155"/>
        <v>1465</v>
      </c>
      <c r="BL64" s="3">
        <f t="shared" si="156"/>
        <v>987</v>
      </c>
      <c r="BM64" s="3">
        <f t="shared" si="157"/>
        <v>0</v>
      </c>
      <c r="BN64" s="3">
        <f t="shared" si="158"/>
        <v>0</v>
      </c>
      <c r="BO64" s="3">
        <f t="shared" si="159"/>
        <v>924.41666666666663</v>
      </c>
      <c r="BP64" s="3">
        <f t="shared" si="160"/>
        <v>3081.3888888888887</v>
      </c>
      <c r="BQ64" s="3">
        <f t="shared" si="161"/>
        <v>308.13888888888886</v>
      </c>
      <c r="BR64" s="3">
        <f t="shared" si="162"/>
        <v>3882.5499999999997</v>
      </c>
      <c r="BS64" s="3">
        <f t="shared" si="163"/>
        <v>665.57999999999993</v>
      </c>
      <c r="BT64" s="3">
        <f t="shared" si="164"/>
        <v>443.72</v>
      </c>
      <c r="BU64" s="3">
        <f t="shared" si="165"/>
        <v>1064.9280000000001</v>
      </c>
      <c r="BV64" s="53">
        <f t="shared" si="114"/>
        <v>266232</v>
      </c>
      <c r="BW64" s="53">
        <f t="shared" si="115"/>
        <v>17580</v>
      </c>
      <c r="BX64" s="53">
        <f t="shared" si="116"/>
        <v>11844</v>
      </c>
      <c r="BY64" s="53">
        <f t="shared" si="117"/>
        <v>0</v>
      </c>
      <c r="BZ64" s="53">
        <f t="shared" si="118"/>
        <v>0</v>
      </c>
      <c r="CA64" s="53">
        <f t="shared" si="119"/>
        <v>11093</v>
      </c>
      <c r="CB64" s="53">
        <f t="shared" si="120"/>
        <v>36976.666666666664</v>
      </c>
      <c r="CC64" s="53">
        <f t="shared" si="121"/>
        <v>3697.6666666666665</v>
      </c>
      <c r="CD64" s="53">
        <f t="shared" si="122"/>
        <v>46590.6</v>
      </c>
      <c r="CE64" s="53">
        <f t="shared" si="123"/>
        <v>7986.9599999999991</v>
      </c>
      <c r="CF64" s="53">
        <f t="shared" si="124"/>
        <v>5324.64</v>
      </c>
      <c r="CG64" s="53">
        <f t="shared" si="125"/>
        <v>12779.136000000002</v>
      </c>
      <c r="CH64" s="54">
        <f t="shared" si="126"/>
        <v>420104.66933333338</v>
      </c>
      <c r="CI64" s="46"/>
      <c r="CJ64" s="46"/>
      <c r="CK64" s="46"/>
      <c r="CL64" s="46"/>
      <c r="CM64" s="46"/>
      <c r="CN64" s="46"/>
      <c r="CO64" s="46"/>
      <c r="CP64" s="46"/>
    </row>
    <row r="65" spans="1:94" ht="27" customHeight="1" x14ac:dyDescent="0.2">
      <c r="A65" s="8">
        <v>61</v>
      </c>
      <c r="B65" s="8">
        <v>829</v>
      </c>
      <c r="C65" s="43" t="s">
        <v>69</v>
      </c>
      <c r="D65" s="44" t="str">
        <f t="shared" si="102"/>
        <v>Chavez</v>
      </c>
      <c r="E65" s="44" t="str">
        <f t="shared" si="103"/>
        <v xml:space="preserve">Balderrama </v>
      </c>
      <c r="F65" s="44" t="str">
        <f t="shared" si="104"/>
        <v>Julian</v>
      </c>
      <c r="G65" s="8">
        <v>1</v>
      </c>
      <c r="H65" s="8" t="s">
        <v>68</v>
      </c>
      <c r="I65" s="45" t="s">
        <v>67</v>
      </c>
      <c r="J65" s="45" t="s">
        <v>59</v>
      </c>
      <c r="K65" s="46" t="s">
        <v>6</v>
      </c>
      <c r="L65" s="46" t="s">
        <v>5</v>
      </c>
      <c r="M65" s="46" t="s">
        <v>22</v>
      </c>
      <c r="N65" s="47" t="str">
        <f>IF(H65&gt;0,MID(H65,9,2)&amp;"/"&amp;MID(H65,7,2)&amp;"/"&amp;MID(H65,5,2),0)</f>
        <v>09/01/63</v>
      </c>
      <c r="O65" s="48">
        <f t="shared" ca="1" si="105"/>
        <v>55</v>
      </c>
      <c r="P65" s="1">
        <v>37743</v>
      </c>
      <c r="Q65" s="2" t="str">
        <f t="shared" si="106"/>
        <v>15 años, 7 meses, 29 dias.</v>
      </c>
      <c r="R65" s="2">
        <f t="shared" si="107"/>
        <v>15</v>
      </c>
      <c r="S65" s="2">
        <f t="shared" si="108"/>
        <v>187</v>
      </c>
      <c r="T65" s="2">
        <f t="shared" si="109"/>
        <v>5722</v>
      </c>
      <c r="U65" s="46" t="s">
        <v>3</v>
      </c>
      <c r="V65" s="46">
        <v>14</v>
      </c>
      <c r="W65" s="46" t="s">
        <v>16</v>
      </c>
      <c r="X65" s="46">
        <v>40</v>
      </c>
      <c r="Y65" s="46" t="s">
        <v>2</v>
      </c>
      <c r="Z65" s="46" t="s">
        <v>16</v>
      </c>
      <c r="AA65" s="49">
        <f>IF(C65="Plaza sin presupuesto",0,IF(W65="si",IF(X65=30,VLOOKUP(V65,'[1]Tablas despensa y pasaje 2018'!$A$3:$I$38,2,0),IF(PLANTILLA!X65=40,VLOOKUP(PLANTILLA!V65,'[1]Tablas despensa y pasaje 2018'!$A$3:$I$38,6,0))),IF(X65=30,VLOOKUP(V65,'[1]Tablas despensa y pasaje 2018'!$A$41:$I$48,2,0),IF(X65=40,VLOOKUP(V65,'[1]Tablas despensa y pasaje 2018'!$A$41:$I$48,6,0),0))))</f>
        <v>14217</v>
      </c>
      <c r="AB65" s="49">
        <f>IF(C65="Plaza sin presupuesto",0,IF(W65="si",IF(X65=30,VLOOKUP(V65,'[1]Tablas despensa y pasaje 2018'!$A$3:$I$38,3,0),IF(PLANTILLA!X65=40,VLOOKUP(PLANTILLA!V65,'[1]Tablas despensa y pasaje 2018'!$A$3:$I$38,7,0))),IF(X65=30,VLOOKUP(V65,'[1]Tablas despensa y pasaje 2018'!$A$41:$I$48,3,0),IF(X65=40,VLOOKUP(V65,'[1]Tablas despensa y pasaje 2018'!$A$41:$I$48,7,0),0))))</f>
        <v>1163</v>
      </c>
      <c r="AC65" s="49">
        <f>IF(C65="Plaza sin presupuesto",0,IF(W65="si",IF(X65=30,VLOOKUP(V65,'[1]Tablas despensa y pasaje 2018'!$A$3:$I$38,4,0),IF(PLANTILLA!X65=40,VLOOKUP(PLANTILLA!V65,'[1]Tablas despensa y pasaje 2018'!$A$3:$I$38,8,0))),IF(X65=30,VLOOKUP(V65,'[1]Tablas despensa y pasaje 2018'!$A$41:$I$48,4,0),IF(X65=40,VLOOKUP(V65,'[1]Tablas despensa y pasaje 2018'!$A$41:$I$48,8,0),0))))</f>
        <v>722</v>
      </c>
      <c r="AD65" s="49">
        <f t="shared" si="110"/>
        <v>0</v>
      </c>
      <c r="AE65" s="49">
        <f t="shared" si="111"/>
        <v>353.44</v>
      </c>
      <c r="AF65" s="49">
        <f t="shared" si="127"/>
        <v>7108.5</v>
      </c>
      <c r="AG65" s="49">
        <f t="shared" si="112"/>
        <v>23695</v>
      </c>
      <c r="AH65" s="49">
        <f t="shared" si="113"/>
        <v>2369.5</v>
      </c>
      <c r="AI65" s="49">
        <f t="shared" si="128"/>
        <v>2487.9749999999999</v>
      </c>
      <c r="AJ65" s="49">
        <f t="shared" si="129"/>
        <v>426.51</v>
      </c>
      <c r="AK65" s="49">
        <f t="shared" si="130"/>
        <v>284.34000000000003</v>
      </c>
      <c r="AL65" s="49">
        <f t="shared" si="131"/>
        <v>682.41600000000005</v>
      </c>
      <c r="AM65" s="50">
        <f>IF((SUM(AA65:AE65)/2)=0,0,(((((SUM(AA65:AE65)/2)-(VLOOKUP((SUM(AA65:AE65)/2),'[1]Tablas ISR'!$A$4:$D$14,1,TRUE)))*(VLOOKUP((SUM(AA65:AE65)/2),'[1]Tablas ISR'!$A$4:$D$14,4,TRUE)))/100)+(VLOOKUP((SUM(AA65:AE65)/2),'[1]Tablas ISR'!$A$4:$D$14,3,TRUE)))*2)</f>
        <v>2238.5332319999998</v>
      </c>
      <c r="AN65" s="51">
        <f t="shared" si="132"/>
        <v>1634.9550000000002</v>
      </c>
      <c r="AO65" s="49">
        <f t="shared" si="133"/>
        <v>7108.5</v>
      </c>
      <c r="AP65" s="49">
        <f t="shared" si="134"/>
        <v>581.5</v>
      </c>
      <c r="AQ65" s="49">
        <f t="shared" si="135"/>
        <v>361</v>
      </c>
      <c r="AR65" s="49">
        <f t="shared" si="136"/>
        <v>0</v>
      </c>
      <c r="AS65" s="49">
        <f t="shared" si="137"/>
        <v>176.72</v>
      </c>
      <c r="AT65" s="49">
        <f t="shared" si="138"/>
        <v>1243.9875</v>
      </c>
      <c r="AU65" s="49">
        <f t="shared" si="139"/>
        <v>213.255</v>
      </c>
      <c r="AV65" s="49">
        <f t="shared" si="140"/>
        <v>341.20800000000003</v>
      </c>
      <c r="AW65" s="52">
        <f t="shared" si="141"/>
        <v>6290.9758839999995</v>
      </c>
      <c r="AX65" s="3">
        <f t="shared" si="142"/>
        <v>473.9</v>
      </c>
      <c r="AY65" s="3">
        <f t="shared" si="143"/>
        <v>38.766666666666666</v>
      </c>
      <c r="AZ65" s="3">
        <f t="shared" si="144"/>
        <v>24.066666666666666</v>
      </c>
      <c r="BA65" s="3">
        <f t="shared" si="145"/>
        <v>0</v>
      </c>
      <c r="BB65" s="3">
        <f t="shared" si="146"/>
        <v>11.781333333333333</v>
      </c>
      <c r="BC65" s="3">
        <f t="shared" si="147"/>
        <v>19.475342465753425</v>
      </c>
      <c r="BD65" s="3">
        <f t="shared" si="148"/>
        <v>64.917808219178085</v>
      </c>
      <c r="BE65" s="3">
        <f t="shared" si="149"/>
        <v>6.4917808219178079</v>
      </c>
      <c r="BF65" s="3">
        <f t="shared" si="150"/>
        <v>82.93249999999999</v>
      </c>
      <c r="BG65" s="3">
        <f t="shared" si="151"/>
        <v>14.217000000000001</v>
      </c>
      <c r="BH65" s="3">
        <f t="shared" si="152"/>
        <v>9.4780000000000015</v>
      </c>
      <c r="BI65" s="3">
        <f t="shared" si="153"/>
        <v>22.747200000000003</v>
      </c>
      <c r="BJ65" s="3">
        <f t="shared" si="154"/>
        <v>14217</v>
      </c>
      <c r="BK65" s="3">
        <f t="shared" si="155"/>
        <v>1163</v>
      </c>
      <c r="BL65" s="3">
        <f t="shared" si="156"/>
        <v>722</v>
      </c>
      <c r="BM65" s="3">
        <f t="shared" si="157"/>
        <v>0</v>
      </c>
      <c r="BN65" s="3">
        <f t="shared" si="158"/>
        <v>353.44</v>
      </c>
      <c r="BO65" s="3">
        <f t="shared" si="159"/>
        <v>592.375</v>
      </c>
      <c r="BP65" s="3">
        <f t="shared" si="160"/>
        <v>1974.5833333333333</v>
      </c>
      <c r="BQ65" s="3">
        <f t="shared" si="161"/>
        <v>197.45833333333334</v>
      </c>
      <c r="BR65" s="3">
        <f t="shared" si="162"/>
        <v>2487.9749999999999</v>
      </c>
      <c r="BS65" s="3">
        <f t="shared" si="163"/>
        <v>426.51</v>
      </c>
      <c r="BT65" s="3">
        <f t="shared" si="164"/>
        <v>284.34000000000003</v>
      </c>
      <c r="BU65" s="3">
        <f t="shared" si="165"/>
        <v>682.41600000000005</v>
      </c>
      <c r="BV65" s="53">
        <f t="shared" si="114"/>
        <v>170604</v>
      </c>
      <c r="BW65" s="53">
        <f t="shared" si="115"/>
        <v>13956</v>
      </c>
      <c r="BX65" s="53">
        <f t="shared" si="116"/>
        <v>8664</v>
      </c>
      <c r="BY65" s="53">
        <f t="shared" si="117"/>
        <v>0</v>
      </c>
      <c r="BZ65" s="53">
        <f t="shared" si="118"/>
        <v>4241.28</v>
      </c>
      <c r="CA65" s="53">
        <f t="shared" si="119"/>
        <v>7108.5</v>
      </c>
      <c r="CB65" s="53">
        <f t="shared" si="120"/>
        <v>23695</v>
      </c>
      <c r="CC65" s="53">
        <f t="shared" si="121"/>
        <v>2369.5</v>
      </c>
      <c r="CD65" s="53">
        <f t="shared" si="122"/>
        <v>29855.699999999997</v>
      </c>
      <c r="CE65" s="53">
        <f t="shared" si="123"/>
        <v>5118.12</v>
      </c>
      <c r="CF65" s="53">
        <f t="shared" si="124"/>
        <v>3412.0800000000004</v>
      </c>
      <c r="CG65" s="53">
        <f t="shared" si="125"/>
        <v>8188.9920000000002</v>
      </c>
      <c r="CH65" s="54">
        <f t="shared" si="126"/>
        <v>277213.17200000002</v>
      </c>
      <c r="CI65" s="46"/>
      <c r="CJ65" s="46"/>
      <c r="CK65" s="46"/>
      <c r="CL65" s="46"/>
      <c r="CM65" s="46"/>
      <c r="CN65" s="46"/>
      <c r="CO65" s="46"/>
      <c r="CP65" s="46"/>
    </row>
    <row r="66" spans="1:94" ht="27" customHeight="1" x14ac:dyDescent="0.2">
      <c r="A66" s="8">
        <v>62</v>
      </c>
      <c r="B66" s="8">
        <v>830</v>
      </c>
      <c r="C66" s="43" t="s">
        <v>66</v>
      </c>
      <c r="D66" s="44" t="str">
        <f t="shared" si="102"/>
        <v>De</v>
      </c>
      <c r="E66" s="44" t="str">
        <f t="shared" si="103"/>
        <v xml:space="preserve">La </v>
      </c>
      <c r="F66" s="44" t="str">
        <f t="shared" si="104"/>
        <v>Torre Martinez Maria Alejandra</v>
      </c>
      <c r="G66" s="8">
        <v>3</v>
      </c>
      <c r="H66" s="8" t="s">
        <v>65</v>
      </c>
      <c r="I66" s="45" t="s">
        <v>64</v>
      </c>
      <c r="J66" s="45" t="s">
        <v>59</v>
      </c>
      <c r="K66" s="46" t="s">
        <v>6</v>
      </c>
      <c r="L66" s="46" t="s">
        <v>17</v>
      </c>
      <c r="M66" s="46" t="s">
        <v>22</v>
      </c>
      <c r="N66" s="47" t="str">
        <f>IF(H66&gt;0,MID(H66,9,2)&amp;"/"&amp;MID(H66,7,2)&amp;"/"&amp;MID(H66,5,2),0)</f>
        <v>17/06/57</v>
      </c>
      <c r="O66" s="48">
        <f t="shared" ca="1" si="105"/>
        <v>60</v>
      </c>
      <c r="P66" s="1">
        <v>36234</v>
      </c>
      <c r="Q66" s="2" t="str">
        <f t="shared" si="106"/>
        <v>19 años, 9 meses, 16 dias.</v>
      </c>
      <c r="R66" s="2">
        <f t="shared" si="107"/>
        <v>19</v>
      </c>
      <c r="S66" s="2">
        <f t="shared" si="108"/>
        <v>237</v>
      </c>
      <c r="T66" s="2">
        <f t="shared" si="109"/>
        <v>7231</v>
      </c>
      <c r="U66" s="46" t="s">
        <v>3</v>
      </c>
      <c r="V66" s="46">
        <v>13</v>
      </c>
      <c r="W66" s="46" t="s">
        <v>1</v>
      </c>
      <c r="X66" s="46">
        <v>40</v>
      </c>
      <c r="Y66" s="46" t="s">
        <v>2</v>
      </c>
      <c r="Z66" s="46" t="s">
        <v>16</v>
      </c>
      <c r="AA66" s="49">
        <f>IF(C66="Plaza sin presupuesto",0,IF(W66="si",IF(X66=30,VLOOKUP(V66,'[1]Tablas despensa y pasaje 2018'!$A$3:$I$38,2,0),IF(PLANTILLA!X66=40,VLOOKUP(PLANTILLA!V66,'[1]Tablas despensa y pasaje 2018'!$A$3:$I$38,6,0))),IF(X66=30,VLOOKUP(V66,'[1]Tablas despensa y pasaje 2018'!$A$41:$I$48,2,0),IF(X66=40,VLOOKUP(V66,'[1]Tablas despensa y pasaje 2018'!$A$41:$I$48,6,0),0))))</f>
        <v>13714</v>
      </c>
      <c r="AB66" s="49">
        <f>IF(C66="Plaza sin presupuesto",0,IF(W66="si",IF(X66=30,VLOOKUP(V66,'[1]Tablas despensa y pasaje 2018'!$A$3:$I$38,3,0),IF(PLANTILLA!X66=40,VLOOKUP(PLANTILLA!V66,'[1]Tablas despensa y pasaje 2018'!$A$3:$I$38,7,0))),IF(X66=30,VLOOKUP(V66,'[1]Tablas despensa y pasaje 2018'!$A$41:$I$48,3,0),IF(X66=40,VLOOKUP(V66,'[1]Tablas despensa y pasaje 2018'!$A$41:$I$48,7,0),0))))</f>
        <v>1128</v>
      </c>
      <c r="AC66" s="49">
        <f>IF(C66="Plaza sin presupuesto",0,IF(W66="si",IF(X66=30,VLOOKUP(V66,'[1]Tablas despensa y pasaje 2018'!$A$3:$I$38,4,0),IF(PLANTILLA!X66=40,VLOOKUP(PLANTILLA!V66,'[1]Tablas despensa y pasaje 2018'!$A$3:$I$38,8,0))),IF(X66=30,VLOOKUP(V66,'[1]Tablas despensa y pasaje 2018'!$A$41:$I$48,4,0),IF(X66=40,VLOOKUP(V66,'[1]Tablas despensa y pasaje 2018'!$A$41:$I$48,8,0),0))))</f>
        <v>703</v>
      </c>
      <c r="AD66" s="49">
        <f t="shared" si="110"/>
        <v>0</v>
      </c>
      <c r="AE66" s="49">
        <f t="shared" si="111"/>
        <v>353.44</v>
      </c>
      <c r="AF66" s="49">
        <f t="shared" si="127"/>
        <v>6857</v>
      </c>
      <c r="AG66" s="49">
        <f t="shared" si="112"/>
        <v>22856.666666666668</v>
      </c>
      <c r="AH66" s="49">
        <f t="shared" si="113"/>
        <v>2285.6666666666665</v>
      </c>
      <c r="AI66" s="49">
        <f t="shared" si="128"/>
        <v>2399.9499999999998</v>
      </c>
      <c r="AJ66" s="49">
        <f t="shared" si="129"/>
        <v>411.41999999999996</v>
      </c>
      <c r="AK66" s="49">
        <f t="shared" si="130"/>
        <v>274.28000000000003</v>
      </c>
      <c r="AL66" s="49">
        <f t="shared" si="131"/>
        <v>658.27200000000005</v>
      </c>
      <c r="AM66" s="50">
        <f>IF((SUM(AA66:AE66)/2)=0,0,(((((SUM(AA66:AE66)/2)-(VLOOKUP((SUM(AA66:AE66)/2),'[1]Tablas ISR'!$A$4:$D$14,1,TRUE)))*(VLOOKUP((SUM(AA66:AE66)/2),'[1]Tablas ISR'!$A$4:$D$14,4,TRUE)))/100)+(VLOOKUP((SUM(AA66:AE66)/2),'[1]Tablas ISR'!$A$4:$D$14,3,TRUE)))*2)</f>
        <v>2119.5580319999999</v>
      </c>
      <c r="AN66" s="51">
        <f t="shared" si="132"/>
        <v>1577.1100000000001</v>
      </c>
      <c r="AO66" s="49">
        <f t="shared" si="133"/>
        <v>6857</v>
      </c>
      <c r="AP66" s="49">
        <f t="shared" si="134"/>
        <v>564</v>
      </c>
      <c r="AQ66" s="49">
        <f t="shared" si="135"/>
        <v>351.5</v>
      </c>
      <c r="AR66" s="49">
        <f t="shared" si="136"/>
        <v>0</v>
      </c>
      <c r="AS66" s="49">
        <f t="shared" si="137"/>
        <v>176.72</v>
      </c>
      <c r="AT66" s="49">
        <f t="shared" si="138"/>
        <v>1199.9749999999999</v>
      </c>
      <c r="AU66" s="49">
        <f t="shared" si="139"/>
        <v>205.70999999999998</v>
      </c>
      <c r="AV66" s="49">
        <f t="shared" si="140"/>
        <v>329.13600000000002</v>
      </c>
      <c r="AW66" s="52">
        <f t="shared" si="141"/>
        <v>6100.8859840000005</v>
      </c>
      <c r="AX66" s="3">
        <f t="shared" si="142"/>
        <v>457.13333333333333</v>
      </c>
      <c r="AY66" s="3">
        <f t="shared" si="143"/>
        <v>37.6</v>
      </c>
      <c r="AZ66" s="3">
        <f t="shared" si="144"/>
        <v>23.433333333333334</v>
      </c>
      <c r="BA66" s="3">
        <f t="shared" si="145"/>
        <v>0</v>
      </c>
      <c r="BB66" s="3">
        <f t="shared" si="146"/>
        <v>11.781333333333333</v>
      </c>
      <c r="BC66" s="3">
        <f t="shared" si="147"/>
        <v>18.786301369863015</v>
      </c>
      <c r="BD66" s="3">
        <f t="shared" si="148"/>
        <v>62.621004566210047</v>
      </c>
      <c r="BE66" s="3">
        <f t="shared" si="149"/>
        <v>6.2621004566210043</v>
      </c>
      <c r="BF66" s="3">
        <f t="shared" si="150"/>
        <v>79.998333333333321</v>
      </c>
      <c r="BG66" s="3">
        <f t="shared" si="151"/>
        <v>13.713999999999999</v>
      </c>
      <c r="BH66" s="3">
        <f t="shared" si="152"/>
        <v>9.1426666666666669</v>
      </c>
      <c r="BI66" s="3">
        <f t="shared" si="153"/>
        <v>21.942400000000003</v>
      </c>
      <c r="BJ66" s="3">
        <f t="shared" si="154"/>
        <v>13714</v>
      </c>
      <c r="BK66" s="3">
        <f t="shared" si="155"/>
        <v>1128</v>
      </c>
      <c r="BL66" s="3">
        <f t="shared" si="156"/>
        <v>703</v>
      </c>
      <c r="BM66" s="3">
        <f t="shared" si="157"/>
        <v>0</v>
      </c>
      <c r="BN66" s="3">
        <f t="shared" si="158"/>
        <v>353.44</v>
      </c>
      <c r="BO66" s="3">
        <f t="shared" si="159"/>
        <v>571.41666666666663</v>
      </c>
      <c r="BP66" s="3">
        <f t="shared" si="160"/>
        <v>1904.7222222222224</v>
      </c>
      <c r="BQ66" s="3">
        <f t="shared" si="161"/>
        <v>190.4722222222222</v>
      </c>
      <c r="BR66" s="3">
        <f t="shared" si="162"/>
        <v>2399.9499999999998</v>
      </c>
      <c r="BS66" s="3">
        <f t="shared" si="163"/>
        <v>411.41999999999996</v>
      </c>
      <c r="BT66" s="3">
        <f t="shared" si="164"/>
        <v>274.28000000000003</v>
      </c>
      <c r="BU66" s="3">
        <f t="shared" si="165"/>
        <v>658.27200000000005</v>
      </c>
      <c r="BV66" s="53">
        <f t="shared" si="114"/>
        <v>164568</v>
      </c>
      <c r="BW66" s="53">
        <f t="shared" si="115"/>
        <v>13536</v>
      </c>
      <c r="BX66" s="53">
        <f t="shared" si="116"/>
        <v>8436</v>
      </c>
      <c r="BY66" s="53">
        <f t="shared" si="117"/>
        <v>0</v>
      </c>
      <c r="BZ66" s="53">
        <f t="shared" si="118"/>
        <v>4241.28</v>
      </c>
      <c r="CA66" s="53">
        <f t="shared" si="119"/>
        <v>6857</v>
      </c>
      <c r="CB66" s="53">
        <f t="shared" si="120"/>
        <v>22856.666666666668</v>
      </c>
      <c r="CC66" s="53">
        <f t="shared" si="121"/>
        <v>2285.6666666666665</v>
      </c>
      <c r="CD66" s="53">
        <f t="shared" si="122"/>
        <v>28799.399999999998</v>
      </c>
      <c r="CE66" s="53">
        <f t="shared" si="123"/>
        <v>4937.0399999999991</v>
      </c>
      <c r="CF66" s="53">
        <f t="shared" si="124"/>
        <v>3291.3600000000006</v>
      </c>
      <c r="CG66" s="53">
        <f t="shared" si="125"/>
        <v>7899.264000000001</v>
      </c>
      <c r="CH66" s="54">
        <f t="shared" si="126"/>
        <v>267707.67733333335</v>
      </c>
      <c r="CI66" s="46"/>
      <c r="CJ66" s="46"/>
      <c r="CK66" s="46"/>
      <c r="CL66" s="46"/>
      <c r="CM66" s="46"/>
      <c r="CN66" s="46"/>
      <c r="CO66" s="46"/>
      <c r="CP66" s="46"/>
    </row>
    <row r="67" spans="1:94" ht="27" customHeight="1" x14ac:dyDescent="0.2">
      <c r="A67" s="8">
        <v>63</v>
      </c>
      <c r="B67" s="8">
        <v>831</v>
      </c>
      <c r="C67" s="43" t="s">
        <v>63</v>
      </c>
      <c r="D67" s="44" t="str">
        <f t="shared" si="102"/>
        <v>Figueroa</v>
      </c>
      <c r="E67" s="44" t="str">
        <f t="shared" si="103"/>
        <v xml:space="preserve">Gutierrez </v>
      </c>
      <c r="F67" s="44" t="str">
        <f t="shared" si="104"/>
        <v>Mayra Karina</v>
      </c>
      <c r="G67" s="8">
        <v>2</v>
      </c>
      <c r="H67" s="8" t="s">
        <v>62</v>
      </c>
      <c r="I67" s="45" t="s">
        <v>61</v>
      </c>
      <c r="J67" s="45" t="s">
        <v>59</v>
      </c>
      <c r="K67" s="46" t="s">
        <v>6</v>
      </c>
      <c r="L67" s="46" t="s">
        <v>17</v>
      </c>
      <c r="M67" s="46" t="s">
        <v>11</v>
      </c>
      <c r="N67" s="47" t="str">
        <f>IF(H67&gt;0,MID(H67,9,2)&amp;"/"&amp;MID(H67,7,2)&amp;"/"&amp;MID(H67,5,2),0)</f>
        <v>16/05/90</v>
      </c>
      <c r="O67" s="48">
        <f t="shared" ca="1" si="105"/>
        <v>27</v>
      </c>
      <c r="P67" s="1">
        <v>41526</v>
      </c>
      <c r="Q67" s="2" t="str">
        <f t="shared" si="106"/>
        <v>5 años, 3 meses, 22 dias.</v>
      </c>
      <c r="R67" s="2">
        <f t="shared" si="107"/>
        <v>5</v>
      </c>
      <c r="S67" s="2">
        <f t="shared" si="108"/>
        <v>63</v>
      </c>
      <c r="T67" s="2">
        <f t="shared" si="109"/>
        <v>1939</v>
      </c>
      <c r="U67" s="46" t="s">
        <v>3</v>
      </c>
      <c r="V67" s="46">
        <v>13</v>
      </c>
      <c r="W67" s="46" t="s">
        <v>1</v>
      </c>
      <c r="X67" s="46">
        <v>40</v>
      </c>
      <c r="Y67" s="46" t="s">
        <v>2</v>
      </c>
      <c r="Z67" s="46" t="s">
        <v>16</v>
      </c>
      <c r="AA67" s="49">
        <f>IF(C67="Plaza sin presupuesto",0,IF(W67="si",IF(X67=30,VLOOKUP(V67,'[1]Tablas despensa y pasaje 2018'!$A$3:$I$38,2,0),IF(PLANTILLA!X67=40,VLOOKUP(PLANTILLA!V67,'[1]Tablas despensa y pasaje 2018'!$A$3:$I$38,6,0))),IF(X67=30,VLOOKUP(V67,'[1]Tablas despensa y pasaje 2018'!$A$41:$I$48,2,0),IF(X67=40,VLOOKUP(V67,'[1]Tablas despensa y pasaje 2018'!$A$41:$I$48,6,0),0))))</f>
        <v>13714</v>
      </c>
      <c r="AB67" s="49">
        <f>IF(C67="Plaza sin presupuesto",0,IF(W67="si",IF(X67=30,VLOOKUP(V67,'[1]Tablas despensa y pasaje 2018'!$A$3:$I$38,3,0),IF(PLANTILLA!X67=40,VLOOKUP(PLANTILLA!V67,'[1]Tablas despensa y pasaje 2018'!$A$3:$I$38,7,0))),IF(X67=30,VLOOKUP(V67,'[1]Tablas despensa y pasaje 2018'!$A$41:$I$48,3,0),IF(X67=40,VLOOKUP(V67,'[1]Tablas despensa y pasaje 2018'!$A$41:$I$48,7,0),0))))</f>
        <v>1128</v>
      </c>
      <c r="AC67" s="49">
        <f>IF(C67="Plaza sin presupuesto",0,IF(W67="si",IF(X67=30,VLOOKUP(V67,'[1]Tablas despensa y pasaje 2018'!$A$3:$I$38,4,0),IF(PLANTILLA!X67=40,VLOOKUP(PLANTILLA!V67,'[1]Tablas despensa y pasaje 2018'!$A$3:$I$38,8,0))),IF(X67=30,VLOOKUP(V67,'[1]Tablas despensa y pasaje 2018'!$A$41:$I$48,4,0),IF(X67=40,VLOOKUP(V67,'[1]Tablas despensa y pasaje 2018'!$A$41:$I$48,8,0),0))))</f>
        <v>703</v>
      </c>
      <c r="AD67" s="49">
        <f t="shared" si="110"/>
        <v>0</v>
      </c>
      <c r="AE67" s="49">
        <f t="shared" si="111"/>
        <v>176.72</v>
      </c>
      <c r="AF67" s="49">
        <f t="shared" si="127"/>
        <v>6857</v>
      </c>
      <c r="AG67" s="49">
        <f t="shared" si="112"/>
        <v>22856.666666666668</v>
      </c>
      <c r="AH67" s="49">
        <f t="shared" si="113"/>
        <v>2285.6666666666665</v>
      </c>
      <c r="AI67" s="49">
        <f t="shared" si="128"/>
        <v>2399.9499999999998</v>
      </c>
      <c r="AJ67" s="49">
        <f t="shared" si="129"/>
        <v>411.41999999999996</v>
      </c>
      <c r="AK67" s="49">
        <f t="shared" si="130"/>
        <v>274.28000000000003</v>
      </c>
      <c r="AL67" s="49">
        <f t="shared" si="131"/>
        <v>658.27200000000005</v>
      </c>
      <c r="AM67" s="50">
        <f>IF((SUM(AA67:AE67)/2)=0,0,(((((SUM(AA67:AE67)/2)-(VLOOKUP((SUM(AA67:AE67)/2),'[1]Tablas ISR'!$A$4:$D$14,1,TRUE)))*(VLOOKUP((SUM(AA67:AE67)/2),'[1]Tablas ISR'!$A$4:$D$14,4,TRUE)))/100)+(VLOOKUP((SUM(AA67:AE67)/2),'[1]Tablas ISR'!$A$4:$D$14,3,TRUE)))*2)</f>
        <v>2081.8106399999997</v>
      </c>
      <c r="AN67" s="51">
        <f t="shared" si="132"/>
        <v>1577.1100000000001</v>
      </c>
      <c r="AO67" s="49">
        <f t="shared" si="133"/>
        <v>6857</v>
      </c>
      <c r="AP67" s="49">
        <f t="shared" si="134"/>
        <v>564</v>
      </c>
      <c r="AQ67" s="49">
        <f t="shared" si="135"/>
        <v>351.5</v>
      </c>
      <c r="AR67" s="49">
        <f t="shared" si="136"/>
        <v>0</v>
      </c>
      <c r="AS67" s="49">
        <f t="shared" si="137"/>
        <v>88.36</v>
      </c>
      <c r="AT67" s="49">
        <f t="shared" si="138"/>
        <v>1199.9749999999999</v>
      </c>
      <c r="AU67" s="49">
        <f t="shared" si="139"/>
        <v>205.70999999999998</v>
      </c>
      <c r="AV67" s="49">
        <f t="shared" si="140"/>
        <v>329.13600000000002</v>
      </c>
      <c r="AW67" s="52">
        <f t="shared" si="141"/>
        <v>6031.3996799999995</v>
      </c>
      <c r="AX67" s="3">
        <f t="shared" si="142"/>
        <v>457.13333333333333</v>
      </c>
      <c r="AY67" s="3">
        <f t="shared" si="143"/>
        <v>37.6</v>
      </c>
      <c r="AZ67" s="3">
        <f t="shared" si="144"/>
        <v>23.433333333333334</v>
      </c>
      <c r="BA67" s="3">
        <f t="shared" si="145"/>
        <v>0</v>
      </c>
      <c r="BB67" s="3">
        <f t="shared" si="146"/>
        <v>5.8906666666666663</v>
      </c>
      <c r="BC67" s="3">
        <f t="shared" si="147"/>
        <v>18.786301369863015</v>
      </c>
      <c r="BD67" s="3">
        <f t="shared" si="148"/>
        <v>62.621004566210047</v>
      </c>
      <c r="BE67" s="3">
        <f t="shared" si="149"/>
        <v>6.2621004566210043</v>
      </c>
      <c r="BF67" s="3">
        <f t="shared" si="150"/>
        <v>79.998333333333321</v>
      </c>
      <c r="BG67" s="3">
        <f t="shared" si="151"/>
        <v>13.713999999999999</v>
      </c>
      <c r="BH67" s="3">
        <f t="shared" si="152"/>
        <v>9.1426666666666669</v>
      </c>
      <c r="BI67" s="3">
        <f t="shared" si="153"/>
        <v>21.942400000000003</v>
      </c>
      <c r="BJ67" s="3">
        <f t="shared" si="154"/>
        <v>13714</v>
      </c>
      <c r="BK67" s="3">
        <f t="shared" si="155"/>
        <v>1128</v>
      </c>
      <c r="BL67" s="3">
        <f t="shared" si="156"/>
        <v>703</v>
      </c>
      <c r="BM67" s="3">
        <f t="shared" si="157"/>
        <v>0</v>
      </c>
      <c r="BN67" s="3">
        <f t="shared" si="158"/>
        <v>176.72</v>
      </c>
      <c r="BO67" s="3">
        <f t="shared" si="159"/>
        <v>571.41666666666663</v>
      </c>
      <c r="BP67" s="3">
        <f t="shared" si="160"/>
        <v>1904.7222222222224</v>
      </c>
      <c r="BQ67" s="3">
        <f t="shared" si="161"/>
        <v>190.4722222222222</v>
      </c>
      <c r="BR67" s="3">
        <f t="shared" si="162"/>
        <v>2399.9499999999998</v>
      </c>
      <c r="BS67" s="3">
        <f t="shared" si="163"/>
        <v>411.41999999999996</v>
      </c>
      <c r="BT67" s="3">
        <f t="shared" si="164"/>
        <v>274.28000000000003</v>
      </c>
      <c r="BU67" s="3">
        <f t="shared" si="165"/>
        <v>658.27200000000005</v>
      </c>
      <c r="BV67" s="53">
        <f t="shared" si="114"/>
        <v>164568</v>
      </c>
      <c r="BW67" s="53">
        <f t="shared" si="115"/>
        <v>13536</v>
      </c>
      <c r="BX67" s="53">
        <f t="shared" si="116"/>
        <v>8436</v>
      </c>
      <c r="BY67" s="53">
        <f t="shared" si="117"/>
        <v>0</v>
      </c>
      <c r="BZ67" s="53">
        <f t="shared" si="118"/>
        <v>2120.64</v>
      </c>
      <c r="CA67" s="53">
        <f t="shared" si="119"/>
        <v>6857</v>
      </c>
      <c r="CB67" s="53">
        <f t="shared" si="120"/>
        <v>22856.666666666668</v>
      </c>
      <c r="CC67" s="53">
        <f t="shared" si="121"/>
        <v>2285.6666666666665</v>
      </c>
      <c r="CD67" s="53">
        <f t="shared" si="122"/>
        <v>28799.399999999998</v>
      </c>
      <c r="CE67" s="53">
        <f t="shared" si="123"/>
        <v>4937.0399999999991</v>
      </c>
      <c r="CF67" s="53">
        <f t="shared" si="124"/>
        <v>3291.3600000000006</v>
      </c>
      <c r="CG67" s="53">
        <f t="shared" si="125"/>
        <v>7899.264000000001</v>
      </c>
      <c r="CH67" s="54">
        <f t="shared" si="126"/>
        <v>265587.03733333334</v>
      </c>
      <c r="CI67" s="46"/>
      <c r="CJ67" s="46"/>
      <c r="CK67" s="46"/>
      <c r="CL67" s="46"/>
      <c r="CM67" s="46"/>
      <c r="CN67" s="46"/>
      <c r="CO67" s="46"/>
      <c r="CP67" s="46"/>
    </row>
    <row r="68" spans="1:94" s="68" customFormat="1" ht="27" customHeight="1" x14ac:dyDescent="0.2">
      <c r="A68" s="56">
        <v>64</v>
      </c>
      <c r="B68" s="56">
        <v>891</v>
      </c>
      <c r="C68" s="56" t="s">
        <v>38</v>
      </c>
      <c r="D68" s="56" t="str">
        <f t="shared" si="102"/>
        <v>Plaza</v>
      </c>
      <c r="E68" s="56" t="str">
        <f t="shared" si="103"/>
        <v xml:space="preserve">sin </v>
      </c>
      <c r="F68" s="56" t="str">
        <f t="shared" si="104"/>
        <v>presupuesto</v>
      </c>
      <c r="G68" s="56">
        <v>1</v>
      </c>
      <c r="H68" s="56"/>
      <c r="I68" s="57" t="s">
        <v>60</v>
      </c>
      <c r="J68" s="57" t="s">
        <v>59</v>
      </c>
      <c r="K68" s="58" t="s">
        <v>6</v>
      </c>
      <c r="L68" s="58"/>
      <c r="M68" s="58"/>
      <c r="N68" s="59">
        <f>IF(H68&gt;0,MID(H68,9,2)&amp;"/"&amp;MID(H68,7,2)&amp;"/"&amp;MID(H68,5,2),0)</f>
        <v>0</v>
      </c>
      <c r="O68" s="58" t="str">
        <f t="shared" ca="1" si="105"/>
        <v>N/A</v>
      </c>
      <c r="P68" s="60"/>
      <c r="Q68" s="4">
        <f t="shared" si="106"/>
        <v>0</v>
      </c>
      <c r="R68" s="4">
        <f t="shared" si="107"/>
        <v>118</v>
      </c>
      <c r="S68" s="4">
        <f t="shared" si="108"/>
        <v>1427</v>
      </c>
      <c r="T68" s="4">
        <f t="shared" si="109"/>
        <v>43465</v>
      </c>
      <c r="U68" s="58" t="s">
        <v>3</v>
      </c>
      <c r="V68" s="58">
        <v>14</v>
      </c>
      <c r="W68" s="58" t="s">
        <v>16</v>
      </c>
      <c r="X68" s="58">
        <v>40</v>
      </c>
      <c r="Y68" s="58" t="s">
        <v>15</v>
      </c>
      <c r="Z68" s="58" t="s">
        <v>1</v>
      </c>
      <c r="AA68" s="61">
        <f>IF(C68="Plaza sin presupuesto",0,IF(W68="si",IF(X68=30,VLOOKUP(V68,'[1]Tablas despensa y pasaje 2018'!$A$3:$I$38,2,0),IF(PLANTILLA!X68=40,VLOOKUP(PLANTILLA!V68,'[1]Tablas despensa y pasaje 2018'!$A$3:$I$38,6,0))),IF(X68=30,VLOOKUP(V68,'[1]Tablas despensa y pasaje 2018'!$A$41:$I$48,2,0),IF(X68=40,VLOOKUP(V68,'[1]Tablas despensa y pasaje 2018'!$A$41:$I$48,6,0),0))))</f>
        <v>0</v>
      </c>
      <c r="AB68" s="61">
        <f>IF(C68="Plaza sin presupuesto",0,IF(W68="si",IF(X68=30,VLOOKUP(V68,'[1]Tablas despensa y pasaje 2018'!$A$3:$I$38,3,0),IF(PLANTILLA!X68=40,VLOOKUP(PLANTILLA!V68,'[1]Tablas despensa y pasaje 2018'!$A$3:$I$38,7,0))),IF(X68=30,VLOOKUP(V68,'[1]Tablas despensa y pasaje 2018'!$A$41:$I$48,3,0),IF(X68=40,VLOOKUP(V68,'[1]Tablas despensa y pasaje 2018'!$A$41:$I$48,7,0),0))))</f>
        <v>0</v>
      </c>
      <c r="AC68" s="61">
        <f>IF(C68="Plaza sin presupuesto",0,IF(W68="si",IF(X68=30,VLOOKUP(V68,'[1]Tablas despensa y pasaje 2018'!$A$3:$I$38,4,0),IF(PLANTILLA!X68=40,VLOOKUP(PLANTILLA!V68,'[1]Tablas despensa y pasaje 2018'!$A$3:$I$38,8,0))),IF(X68=30,VLOOKUP(V68,'[1]Tablas despensa y pasaje 2018'!$A$41:$I$48,4,0),IF(X68=40,VLOOKUP(V68,'[1]Tablas despensa y pasaje 2018'!$A$41:$I$48,8,0),0))))</f>
        <v>0</v>
      </c>
      <c r="AD68" s="61">
        <f t="shared" si="110"/>
        <v>0</v>
      </c>
      <c r="AE68" s="61">
        <f t="shared" si="111"/>
        <v>0</v>
      </c>
      <c r="AF68" s="61">
        <f t="shared" si="127"/>
        <v>0</v>
      </c>
      <c r="AG68" s="61">
        <f t="shared" si="112"/>
        <v>0</v>
      </c>
      <c r="AH68" s="61">
        <f t="shared" si="113"/>
        <v>0</v>
      </c>
      <c r="AI68" s="61">
        <f t="shared" si="128"/>
        <v>0</v>
      </c>
      <c r="AJ68" s="61">
        <f t="shared" si="129"/>
        <v>0</v>
      </c>
      <c r="AK68" s="61">
        <f t="shared" si="130"/>
        <v>0</v>
      </c>
      <c r="AL68" s="61">
        <f t="shared" si="131"/>
        <v>0</v>
      </c>
      <c r="AM68" s="62">
        <f>IF((SUM(AA68:AE68)/2)=0,0,(((((SUM(AA68:AE68)/2)-(VLOOKUP((SUM(AA68:AE68)/2),'[1]Tablas ISR'!$A$4:$D$14,1,TRUE)))*(VLOOKUP((SUM(AA68:AE68)/2),'[1]Tablas ISR'!$A$4:$D$14,4,TRUE)))/100)+(VLOOKUP((SUM(AA68:AE68)/2),'[1]Tablas ISR'!$A$4:$D$14,3,TRUE)))*2)</f>
        <v>0</v>
      </c>
      <c r="AN68" s="63">
        <f t="shared" si="132"/>
        <v>0</v>
      </c>
      <c r="AO68" s="61">
        <f t="shared" si="133"/>
        <v>0</v>
      </c>
      <c r="AP68" s="61">
        <f t="shared" si="134"/>
        <v>0</v>
      </c>
      <c r="AQ68" s="61">
        <f t="shared" si="135"/>
        <v>0</v>
      </c>
      <c r="AR68" s="61">
        <f t="shared" si="136"/>
        <v>0</v>
      </c>
      <c r="AS68" s="61">
        <f t="shared" si="137"/>
        <v>0</v>
      </c>
      <c r="AT68" s="61">
        <f t="shared" si="138"/>
        <v>0</v>
      </c>
      <c r="AU68" s="61">
        <f t="shared" si="139"/>
        <v>0</v>
      </c>
      <c r="AV68" s="61">
        <f t="shared" si="140"/>
        <v>0</v>
      </c>
      <c r="AW68" s="64">
        <f t="shared" si="141"/>
        <v>0</v>
      </c>
      <c r="AX68" s="5">
        <f t="shared" si="142"/>
        <v>0</v>
      </c>
      <c r="AY68" s="5">
        <f t="shared" si="143"/>
        <v>0</v>
      </c>
      <c r="AZ68" s="5">
        <f t="shared" si="144"/>
        <v>0</v>
      </c>
      <c r="BA68" s="5">
        <f t="shared" si="145"/>
        <v>0</v>
      </c>
      <c r="BB68" s="5">
        <f t="shared" si="146"/>
        <v>0</v>
      </c>
      <c r="BC68" s="5">
        <f t="shared" si="147"/>
        <v>0</v>
      </c>
      <c r="BD68" s="5">
        <f t="shared" si="148"/>
        <v>0</v>
      </c>
      <c r="BE68" s="5">
        <f t="shared" si="149"/>
        <v>0</v>
      </c>
      <c r="BF68" s="5">
        <f t="shared" si="150"/>
        <v>0</v>
      </c>
      <c r="BG68" s="5">
        <f t="shared" si="151"/>
        <v>0</v>
      </c>
      <c r="BH68" s="5">
        <f t="shared" si="152"/>
        <v>0</v>
      </c>
      <c r="BI68" s="5">
        <f t="shared" si="153"/>
        <v>0</v>
      </c>
      <c r="BJ68" s="5">
        <f t="shared" si="154"/>
        <v>0</v>
      </c>
      <c r="BK68" s="5">
        <f t="shared" si="155"/>
        <v>0</v>
      </c>
      <c r="BL68" s="5">
        <f t="shared" si="156"/>
        <v>0</v>
      </c>
      <c r="BM68" s="5">
        <f t="shared" si="157"/>
        <v>0</v>
      </c>
      <c r="BN68" s="5">
        <f t="shared" si="158"/>
        <v>0</v>
      </c>
      <c r="BO68" s="5">
        <f t="shared" si="159"/>
        <v>0</v>
      </c>
      <c r="BP68" s="5">
        <f t="shared" si="160"/>
        <v>0</v>
      </c>
      <c r="BQ68" s="5">
        <f t="shared" si="161"/>
        <v>0</v>
      </c>
      <c r="BR68" s="5">
        <f t="shared" si="162"/>
        <v>0</v>
      </c>
      <c r="BS68" s="5">
        <f t="shared" si="163"/>
        <v>0</v>
      </c>
      <c r="BT68" s="5">
        <f t="shared" si="164"/>
        <v>0</v>
      </c>
      <c r="BU68" s="5">
        <f t="shared" si="165"/>
        <v>0</v>
      </c>
      <c r="BV68" s="65">
        <f t="shared" si="114"/>
        <v>0</v>
      </c>
      <c r="BW68" s="65">
        <f t="shared" si="115"/>
        <v>0</v>
      </c>
      <c r="BX68" s="65">
        <f t="shared" si="116"/>
        <v>0</v>
      </c>
      <c r="BY68" s="65">
        <f t="shared" si="117"/>
        <v>0</v>
      </c>
      <c r="BZ68" s="65">
        <f t="shared" si="118"/>
        <v>0</v>
      </c>
      <c r="CA68" s="65">
        <f t="shared" si="119"/>
        <v>0</v>
      </c>
      <c r="CB68" s="65">
        <f t="shared" si="120"/>
        <v>0</v>
      </c>
      <c r="CC68" s="65">
        <f t="shared" si="121"/>
        <v>0</v>
      </c>
      <c r="CD68" s="65">
        <f t="shared" si="122"/>
        <v>0</v>
      </c>
      <c r="CE68" s="65">
        <f t="shared" si="123"/>
        <v>0</v>
      </c>
      <c r="CF68" s="65">
        <f t="shared" si="124"/>
        <v>0</v>
      </c>
      <c r="CG68" s="65">
        <f t="shared" si="125"/>
        <v>0</v>
      </c>
      <c r="CH68" s="66">
        <f t="shared" si="126"/>
        <v>0</v>
      </c>
      <c r="CI68" s="67"/>
      <c r="CJ68" s="67"/>
      <c r="CK68" s="67"/>
      <c r="CL68" s="67"/>
      <c r="CM68" s="67"/>
      <c r="CN68" s="67"/>
      <c r="CO68" s="67"/>
      <c r="CP68" s="67"/>
    </row>
    <row r="69" spans="1:94" ht="27" customHeight="1" x14ac:dyDescent="0.2">
      <c r="A69" s="8">
        <v>65</v>
      </c>
      <c r="B69" s="8">
        <v>912</v>
      </c>
      <c r="C69" s="43" t="s">
        <v>58</v>
      </c>
      <c r="D69" s="44" t="str">
        <f t="shared" ref="D69:D84" si="166">MID(C69,1,SEARCH(" ",C69,1)-1)</f>
        <v>Ruiz</v>
      </c>
      <c r="E69" s="44" t="str">
        <f t="shared" ref="E69:E84" si="167">MID(C69,(SEARCH(" ",C69)+1),(SEARCH(" ",C69,(SEARCH(" ",C69)+1))-SEARCH(" ",C69)))</f>
        <v xml:space="preserve">Bastida </v>
      </c>
      <c r="F69" s="44" t="str">
        <f t="shared" ref="F69:F84" si="168">MID(C69,(SEARCH(" ",C69,(SEARCH(" ",C69)+1))+1),100)</f>
        <v>Santiago</v>
      </c>
      <c r="G69" s="8">
        <v>1</v>
      </c>
      <c r="H69" s="8" t="s">
        <v>57</v>
      </c>
      <c r="I69" s="45" t="s">
        <v>34</v>
      </c>
      <c r="J69" s="45" t="s">
        <v>37</v>
      </c>
      <c r="K69" s="46" t="s">
        <v>18</v>
      </c>
      <c r="L69" s="46" t="s">
        <v>5</v>
      </c>
      <c r="M69" s="46" t="s">
        <v>11</v>
      </c>
      <c r="N69" s="47" t="str">
        <f>IF(H69&gt;0,MID(H69,9,2)&amp;"/"&amp;MID(H69,7,2)&amp;"/"&amp;MID(H69,5,2),0)</f>
        <v>10/01/73</v>
      </c>
      <c r="O69" s="48">
        <f t="shared" ref="O69:O84" ca="1" si="169">IF(N69&gt;0,DATEDIF(N69,TODAY(),"Y"),"N/A")</f>
        <v>45</v>
      </c>
      <c r="P69" s="1">
        <v>41387</v>
      </c>
      <c r="Q69" s="2" t="str">
        <f>IF(P69&gt;0,(DATEDIF(P69,$P$1,"y")&amp;" años, "&amp;DATEDIF(P69,$P$1,"YM")&amp;" meses, "&amp;DATEDIF(P69,$P$1,"md")&amp;" dias."),0)</f>
        <v>5 años, 8 meses, 8 dias.</v>
      </c>
      <c r="R69" s="2">
        <f t="shared" ref="R69:R84" si="170">DATEDIF(P69,$P$1,"y")</f>
        <v>5</v>
      </c>
      <c r="S69" s="2">
        <f t="shared" ref="S69:S84" si="171">DATEDIF(P69,$P$1,"m")</f>
        <v>68</v>
      </c>
      <c r="T69" s="2">
        <f t="shared" ref="T69:T84" si="172">DATEDIF(P69,$P$1,"d")</f>
        <v>2078</v>
      </c>
      <c r="U69" s="46" t="s">
        <v>3</v>
      </c>
      <c r="V69" s="46">
        <v>23</v>
      </c>
      <c r="W69" s="46" t="s">
        <v>16</v>
      </c>
      <c r="X69" s="46">
        <v>40</v>
      </c>
      <c r="Y69" s="46" t="s">
        <v>15</v>
      </c>
      <c r="Z69" s="46" t="s">
        <v>1</v>
      </c>
      <c r="AA69" s="49">
        <f>IF(C69="Plaza sin presupuesto",0,IF(W69="si",IF(X69=30,VLOOKUP(V69,'[1]Tablas despensa y pasaje 2018'!$A$3:$I$38,2,0),IF(PLANTILLA!X69=40,VLOOKUP(PLANTILLA!V69,'[1]Tablas despensa y pasaje 2018'!$A$3:$I$38,6,0))),IF(X69=30,VLOOKUP(V69,'[1]Tablas despensa y pasaje 2018'!$A$41:$I$48,2,0),IF(X69=40,VLOOKUP(V69,'[1]Tablas despensa y pasaje 2018'!$A$41:$I$48,6,0),0))))</f>
        <v>38208</v>
      </c>
      <c r="AB69" s="49">
        <f>IF(C69="Plaza sin presupuesto",0,IF(W69="si",IF(X69=30,VLOOKUP(V69,'[1]Tablas despensa y pasaje 2018'!$A$3:$I$38,3,0),IF(PLANTILLA!X69=40,VLOOKUP(PLANTILLA!V69,'[1]Tablas despensa y pasaje 2018'!$A$3:$I$38,7,0))),IF(X69=30,VLOOKUP(V69,'[1]Tablas despensa y pasaje 2018'!$A$41:$I$48,3,0),IF(X69=40,VLOOKUP(V69,'[1]Tablas despensa y pasaje 2018'!$A$41:$I$48,7,0),0))))</f>
        <v>1808</v>
      </c>
      <c r="AC69" s="49">
        <f>IF(C69="Plaza sin presupuesto",0,IF(W69="si",IF(X69=30,VLOOKUP(V69,'[1]Tablas despensa y pasaje 2018'!$A$3:$I$38,4,0),IF(PLANTILLA!X69=40,VLOOKUP(PLANTILLA!V69,'[1]Tablas despensa y pasaje 2018'!$A$3:$I$38,8,0))),IF(X69=30,VLOOKUP(V69,'[1]Tablas despensa y pasaje 2018'!$A$41:$I$48,4,0),IF(X69=40,VLOOKUP(V69,'[1]Tablas despensa y pasaje 2018'!$A$41:$I$48,8,0),0))))</f>
        <v>1299</v>
      </c>
      <c r="AD69" s="49">
        <f t="shared" ref="AD69:AD84" si="173">IF(AND(K69="SEIJAL",Y69="B"),AA69*0.03,0)</f>
        <v>0</v>
      </c>
      <c r="AE69" s="49">
        <f t="shared" ref="AE69:AE84" si="174">IF(AND(R69&gt;=5,R69&lt;10),$AD$2*2,IF(AND(R69&gt;=10,R69&lt;15),$AD$2*3,IF(AND(R69&gt;=15,R69&lt;20),$AD$2*4,IF(AND(R69&gt;=20,R69&lt;25),$AD$2*5,IF(AND(R69&gt;=25,R69&lt;30),$AD$2*6,IF(AND(R69&gt;=30,R69&lt;35),$AD$2*7,IF(AND(R69&gt;=35,R69&lt;40),$AD$2*8))))))*1)</f>
        <v>176.72</v>
      </c>
      <c r="AF69" s="49">
        <f t="shared" si="127"/>
        <v>19104</v>
      </c>
      <c r="AG69" s="49">
        <f t="shared" ref="AG69:AG84" si="175">IF(T69&lt;365,((((T69)*50)/365)*(AA69/30)),(AA69/30)*50)</f>
        <v>63679.999999999993</v>
      </c>
      <c r="AH69" s="49">
        <f t="shared" ref="AH69:AH84" si="176">IF(T69&gt;364,((AA69/30)*5),((T69*5)/365)*(AA69/30))</f>
        <v>6368</v>
      </c>
      <c r="AI69" s="49">
        <f t="shared" si="128"/>
        <v>6686.4</v>
      </c>
      <c r="AJ69" s="49">
        <f t="shared" si="129"/>
        <v>1146.24</v>
      </c>
      <c r="AK69" s="49">
        <f t="shared" si="130"/>
        <v>764.16</v>
      </c>
      <c r="AL69" s="49">
        <f t="shared" si="131"/>
        <v>1833.9840000000002</v>
      </c>
      <c r="AM69" s="50">
        <f>IF((SUM(AA69:AE69)/2)=0,0,(((((SUM(AA69:AE69)/2)-(VLOOKUP((SUM(AA69:AE69)/2),'[1]Tablas ISR'!$A$4:$D$14,1,TRUE)))*(VLOOKUP((SUM(AA69:AE69)/2),'[1]Tablas ISR'!$A$4:$D$14,4,TRUE)))/100)+(VLOOKUP((SUM(AA69:AE69)/2),'[1]Tablas ISR'!$A$4:$D$14,3,TRUE)))*2)</f>
        <v>8213.4600000000009</v>
      </c>
      <c r="AN69" s="51">
        <f t="shared" si="132"/>
        <v>4393.92</v>
      </c>
      <c r="AO69" s="49">
        <f t="shared" si="133"/>
        <v>19104</v>
      </c>
      <c r="AP69" s="49">
        <f t="shared" si="134"/>
        <v>904</v>
      </c>
      <c r="AQ69" s="49">
        <f t="shared" si="135"/>
        <v>649.5</v>
      </c>
      <c r="AR69" s="49">
        <f t="shared" si="136"/>
        <v>0</v>
      </c>
      <c r="AS69" s="49">
        <f t="shared" si="137"/>
        <v>88.36</v>
      </c>
      <c r="AT69" s="49">
        <f t="shared" si="138"/>
        <v>3343.2</v>
      </c>
      <c r="AU69" s="49">
        <f t="shared" si="139"/>
        <v>573.12</v>
      </c>
      <c r="AV69" s="49">
        <f t="shared" si="140"/>
        <v>916.99200000000008</v>
      </c>
      <c r="AW69" s="52">
        <f t="shared" si="141"/>
        <v>14442.170000000002</v>
      </c>
      <c r="AX69" s="3">
        <f t="shared" si="142"/>
        <v>1273.5999999999999</v>
      </c>
      <c r="AY69" s="3">
        <f t="shared" si="143"/>
        <v>60.266666666666666</v>
      </c>
      <c r="AZ69" s="3">
        <f t="shared" si="144"/>
        <v>43.3</v>
      </c>
      <c r="BA69" s="3">
        <f t="shared" si="145"/>
        <v>0</v>
      </c>
      <c r="BB69" s="3">
        <f t="shared" si="146"/>
        <v>5.8906666666666663</v>
      </c>
      <c r="BC69" s="3">
        <f t="shared" si="147"/>
        <v>52.339726027397262</v>
      </c>
      <c r="BD69" s="3">
        <f t="shared" si="148"/>
        <v>174.46575342465752</v>
      </c>
      <c r="BE69" s="3">
        <f t="shared" si="149"/>
        <v>17.446575342465753</v>
      </c>
      <c r="BF69" s="3">
        <f t="shared" si="150"/>
        <v>222.88</v>
      </c>
      <c r="BG69" s="3">
        <f t="shared" si="151"/>
        <v>38.207999999999998</v>
      </c>
      <c r="BH69" s="3">
        <f t="shared" si="152"/>
        <v>25.471999999999998</v>
      </c>
      <c r="BI69" s="3">
        <f t="shared" si="153"/>
        <v>61.132800000000003</v>
      </c>
      <c r="BJ69" s="3">
        <f t="shared" si="154"/>
        <v>38208</v>
      </c>
      <c r="BK69" s="3">
        <f t="shared" si="155"/>
        <v>1808</v>
      </c>
      <c r="BL69" s="3">
        <f t="shared" si="156"/>
        <v>1299</v>
      </c>
      <c r="BM69" s="3">
        <f t="shared" si="157"/>
        <v>0</v>
      </c>
      <c r="BN69" s="3">
        <f t="shared" si="158"/>
        <v>176.72</v>
      </c>
      <c r="BO69" s="3">
        <f t="shared" si="159"/>
        <v>1592</v>
      </c>
      <c r="BP69" s="3">
        <f t="shared" si="160"/>
        <v>5306.6666666666661</v>
      </c>
      <c r="BQ69" s="3">
        <f t="shared" si="161"/>
        <v>530.66666666666663</v>
      </c>
      <c r="BR69" s="3">
        <f t="shared" si="162"/>
        <v>6686.4</v>
      </c>
      <c r="BS69" s="3">
        <f t="shared" si="163"/>
        <v>1146.24</v>
      </c>
      <c r="BT69" s="3">
        <f t="shared" si="164"/>
        <v>764.16</v>
      </c>
      <c r="BU69" s="3">
        <f t="shared" si="165"/>
        <v>1833.9840000000002</v>
      </c>
      <c r="BV69" s="53">
        <f t="shared" ref="BV69:BV84" si="177">AA69*12</f>
        <v>458496</v>
      </c>
      <c r="BW69" s="53">
        <f t="shared" ref="BW69:BW84" si="178">AB69*12</f>
        <v>21696</v>
      </c>
      <c r="BX69" s="53">
        <f t="shared" ref="BX69:BX84" si="179">AC69*12</f>
        <v>15588</v>
      </c>
      <c r="BY69" s="53">
        <f t="shared" ref="BY69:BY84" si="180">AD69*12</f>
        <v>0</v>
      </c>
      <c r="BZ69" s="53">
        <f t="shared" ref="BZ69:BZ84" si="181">AE69*12</f>
        <v>2120.64</v>
      </c>
      <c r="CA69" s="53">
        <f t="shared" ref="CA69:CA84" si="182">AF69</f>
        <v>19104</v>
      </c>
      <c r="CB69" s="53">
        <f t="shared" ref="CB69:CB84" si="183">AG69</f>
        <v>63679.999999999993</v>
      </c>
      <c r="CC69" s="53">
        <f t="shared" ref="CC69:CC84" si="184">AH69</f>
        <v>6368</v>
      </c>
      <c r="CD69" s="53">
        <f t="shared" ref="CD69:CD84" si="185">AI69*12</f>
        <v>80236.799999999988</v>
      </c>
      <c r="CE69" s="53">
        <f t="shared" ref="CE69:CE84" si="186">AJ69*12</f>
        <v>13754.880000000001</v>
      </c>
      <c r="CF69" s="53">
        <f t="shared" ref="CF69:CF84" si="187">AK69*12</f>
        <v>9169.92</v>
      </c>
      <c r="CG69" s="53">
        <f t="shared" ref="CG69:CG84" si="188">AL69*12</f>
        <v>22007.808000000001</v>
      </c>
      <c r="CH69" s="54">
        <f t="shared" ref="CH69:CH84" si="189">SUM(BV69:CG69)</f>
        <v>712222.04799999995</v>
      </c>
      <c r="CI69" s="46"/>
      <c r="CJ69" s="46"/>
      <c r="CK69" s="46"/>
      <c r="CL69" s="46"/>
      <c r="CM69" s="46"/>
      <c r="CN69" s="46"/>
      <c r="CO69" s="46"/>
      <c r="CP69" s="46"/>
    </row>
    <row r="70" spans="1:94" ht="27" customHeight="1" x14ac:dyDescent="0.2">
      <c r="A70" s="8">
        <v>66</v>
      </c>
      <c r="B70" s="8">
        <v>913</v>
      </c>
      <c r="C70" s="43" t="s">
        <v>56</v>
      </c>
      <c r="D70" s="44" t="str">
        <f t="shared" si="166"/>
        <v>Lara</v>
      </c>
      <c r="E70" s="44" t="str">
        <f t="shared" si="167"/>
        <v xml:space="preserve">Garza </v>
      </c>
      <c r="F70" s="44" t="str">
        <f t="shared" si="168"/>
        <v>Gabriela</v>
      </c>
      <c r="G70" s="8">
        <v>1</v>
      </c>
      <c r="H70" s="8" t="s">
        <v>55</v>
      </c>
      <c r="I70" s="45" t="s">
        <v>54</v>
      </c>
      <c r="J70" s="45" t="s">
        <v>37</v>
      </c>
      <c r="K70" s="46" t="s">
        <v>18</v>
      </c>
      <c r="L70" s="46" t="s">
        <v>17</v>
      </c>
      <c r="M70" s="46" t="s">
        <v>11</v>
      </c>
      <c r="N70" s="47" t="str">
        <f>IF(H70&gt;0,MID(H70,9,2)&amp;"/"&amp;MID(H70,7,2)&amp;"/"&amp;MID(H70,5,2),0)</f>
        <v>19/06/74</v>
      </c>
      <c r="O70" s="48">
        <f t="shared" ca="1" si="169"/>
        <v>43</v>
      </c>
      <c r="P70" s="1">
        <v>36008</v>
      </c>
      <c r="Q70" s="2" t="str">
        <f>IF(P70&gt;0,(DATEDIF(P70,$P$1,"y")&amp;" años, "&amp;DATEDIF(P70,$P$1,"YM")&amp;" meses, "&amp;DATEDIF(P70,$P$1,"md")&amp;" dias."),0)</f>
        <v>20 años, 4 meses, 30 dias.</v>
      </c>
      <c r="R70" s="2">
        <f t="shared" si="170"/>
        <v>20</v>
      </c>
      <c r="S70" s="2">
        <f t="shared" si="171"/>
        <v>244</v>
      </c>
      <c r="T70" s="2">
        <f t="shared" si="172"/>
        <v>7457</v>
      </c>
      <c r="U70" s="46" t="s">
        <v>3</v>
      </c>
      <c r="V70" s="46">
        <v>19</v>
      </c>
      <c r="W70" s="46" t="s">
        <v>16</v>
      </c>
      <c r="X70" s="46">
        <v>40</v>
      </c>
      <c r="Y70" s="46" t="s">
        <v>15</v>
      </c>
      <c r="Z70" s="46" t="s">
        <v>1</v>
      </c>
      <c r="AA70" s="49">
        <f>IF(C70="Plaza sin presupuesto",0,IF(W70="si",IF(X70=30,VLOOKUP(V70,'[1]Tablas despensa y pasaje 2018'!$A$3:$I$38,2,0),IF(PLANTILLA!X70=40,VLOOKUP(PLANTILLA!V70,'[1]Tablas despensa y pasaje 2018'!$A$3:$I$38,6,0))),IF(X70=30,VLOOKUP(V70,'[1]Tablas despensa y pasaje 2018'!$A$41:$I$48,2,0),IF(X70=40,VLOOKUP(V70,'[1]Tablas despensa y pasaje 2018'!$A$41:$I$48,6,0),0))))</f>
        <v>24533</v>
      </c>
      <c r="AB70" s="49">
        <f>IF(C70="Plaza sin presupuesto",0,IF(W70="si",IF(X70=30,VLOOKUP(V70,'[1]Tablas despensa y pasaje 2018'!$A$3:$I$38,3,0),IF(PLANTILLA!X70=40,VLOOKUP(PLANTILLA!V70,'[1]Tablas despensa y pasaje 2018'!$A$3:$I$38,7,0))),IF(X70=30,VLOOKUP(V70,'[1]Tablas despensa y pasaje 2018'!$A$41:$I$48,3,0),IF(X70=40,VLOOKUP(V70,'[1]Tablas despensa y pasaje 2018'!$A$41:$I$48,7,0),0))))</f>
        <v>1549</v>
      </c>
      <c r="AC70" s="49">
        <f>IF(C70="Plaza sin presupuesto",0,IF(W70="si",IF(X70=30,VLOOKUP(V70,'[1]Tablas despensa y pasaje 2018'!$A$3:$I$38,4,0),IF(PLANTILLA!X70=40,VLOOKUP(PLANTILLA!V70,'[1]Tablas despensa y pasaje 2018'!$A$3:$I$38,8,0))),IF(X70=30,VLOOKUP(V70,'[1]Tablas despensa y pasaje 2018'!$A$41:$I$48,4,0),IF(X70=40,VLOOKUP(V70,'[1]Tablas despensa y pasaje 2018'!$A$41:$I$48,8,0),0))))</f>
        <v>1016</v>
      </c>
      <c r="AD70" s="49">
        <f t="shared" si="173"/>
        <v>0</v>
      </c>
      <c r="AE70" s="49">
        <f t="shared" si="174"/>
        <v>441.8</v>
      </c>
      <c r="AF70" s="49">
        <f>IF((DATEDIF(P70,$AE$1,"d"))&lt;365,((((DATEDIF(P70,$AE$1,"d"))*15)/365)*(AA70/30)),IF(AND(K70="SEIJAL",Y70="B"),((AA70+AB70+AC70+AD70+AE70)/30)*15,(AA70/30)*15))</f>
        <v>12266.5</v>
      </c>
      <c r="AG70" s="49">
        <f t="shared" si="175"/>
        <v>40888.333333333336</v>
      </c>
      <c r="AH70" s="49">
        <f t="shared" si="176"/>
        <v>4088.833333333333</v>
      </c>
      <c r="AI70" s="49">
        <f t="shared" si="128"/>
        <v>4293.2749999999996</v>
      </c>
      <c r="AJ70" s="49">
        <f t="shared" si="129"/>
        <v>735.99</v>
      </c>
      <c r="AK70" s="49">
        <f t="shared" si="130"/>
        <v>490.66</v>
      </c>
      <c r="AL70" s="49">
        <f t="shared" si="131"/>
        <v>1177.5840000000001</v>
      </c>
      <c r="AM70" s="50">
        <f>IF((SUM(AA70:AE70)/2)=0,0,(((((SUM(AA70:AE70)/2)-(VLOOKUP((SUM(AA70:AE70)/2),'[1]Tablas ISR'!$A$4:$D$14,1,TRUE)))*(VLOOKUP((SUM(AA70:AE70)/2),'[1]Tablas ISR'!$A$4:$D$14,4,TRUE)))/100)+(VLOOKUP((SUM(AA70:AE70)/2),'[1]Tablas ISR'!$A$4:$D$14,3,TRUE)))*2)</f>
        <v>4684.7060159999992</v>
      </c>
      <c r="AN70" s="51">
        <f t="shared" si="132"/>
        <v>2821.2950000000001</v>
      </c>
      <c r="AO70" s="49">
        <f t="shared" si="133"/>
        <v>12266.5</v>
      </c>
      <c r="AP70" s="49">
        <f t="shared" si="134"/>
        <v>774.5</v>
      </c>
      <c r="AQ70" s="49">
        <f t="shared" si="135"/>
        <v>508</v>
      </c>
      <c r="AR70" s="49">
        <f t="shared" si="136"/>
        <v>0</v>
      </c>
      <c r="AS70" s="49">
        <f t="shared" si="137"/>
        <v>220.9</v>
      </c>
      <c r="AT70" s="49">
        <f t="shared" si="138"/>
        <v>2146.6374999999998</v>
      </c>
      <c r="AU70" s="49">
        <f t="shared" si="139"/>
        <v>367.995</v>
      </c>
      <c r="AV70" s="49">
        <f t="shared" si="140"/>
        <v>588.79200000000003</v>
      </c>
      <c r="AW70" s="52">
        <f t="shared" si="141"/>
        <v>10016.899492</v>
      </c>
      <c r="AX70" s="3">
        <f t="shared" si="142"/>
        <v>817.76666666666665</v>
      </c>
      <c r="AY70" s="3">
        <f t="shared" si="143"/>
        <v>51.633333333333333</v>
      </c>
      <c r="AZ70" s="3">
        <f t="shared" si="144"/>
        <v>33.866666666666667</v>
      </c>
      <c r="BA70" s="3">
        <f t="shared" si="145"/>
        <v>0</v>
      </c>
      <c r="BB70" s="3">
        <f t="shared" si="146"/>
        <v>14.726666666666667</v>
      </c>
      <c r="BC70" s="3">
        <f t="shared" si="147"/>
        <v>33.606849315068494</v>
      </c>
      <c r="BD70" s="3">
        <f t="shared" si="148"/>
        <v>112.02283105022832</v>
      </c>
      <c r="BE70" s="3">
        <f t="shared" si="149"/>
        <v>11.202283105022831</v>
      </c>
      <c r="BF70" s="3">
        <f t="shared" si="150"/>
        <v>143.10916666666665</v>
      </c>
      <c r="BG70" s="3">
        <f t="shared" si="151"/>
        <v>24.533000000000001</v>
      </c>
      <c r="BH70" s="3">
        <f t="shared" si="152"/>
        <v>16.355333333333334</v>
      </c>
      <c r="BI70" s="3">
        <f t="shared" si="153"/>
        <v>39.252800000000001</v>
      </c>
      <c r="BJ70" s="3">
        <f t="shared" si="154"/>
        <v>24533</v>
      </c>
      <c r="BK70" s="3">
        <f t="shared" si="155"/>
        <v>1549</v>
      </c>
      <c r="BL70" s="3">
        <f t="shared" si="156"/>
        <v>1016</v>
      </c>
      <c r="BM70" s="3">
        <f t="shared" si="157"/>
        <v>0</v>
      </c>
      <c r="BN70" s="3">
        <f t="shared" si="158"/>
        <v>441.8</v>
      </c>
      <c r="BO70" s="3">
        <f t="shared" si="159"/>
        <v>1022.2083333333334</v>
      </c>
      <c r="BP70" s="3">
        <f t="shared" si="160"/>
        <v>3407.3611111111113</v>
      </c>
      <c r="BQ70" s="3">
        <f t="shared" si="161"/>
        <v>340.73611111111109</v>
      </c>
      <c r="BR70" s="3">
        <f t="shared" si="162"/>
        <v>4293.2749999999996</v>
      </c>
      <c r="BS70" s="3">
        <f t="shared" si="163"/>
        <v>735.99</v>
      </c>
      <c r="BT70" s="3">
        <f t="shared" si="164"/>
        <v>490.66</v>
      </c>
      <c r="BU70" s="3">
        <f t="shared" si="165"/>
        <v>1177.5840000000001</v>
      </c>
      <c r="BV70" s="53">
        <f t="shared" si="177"/>
        <v>294396</v>
      </c>
      <c r="BW70" s="53">
        <f t="shared" si="178"/>
        <v>18588</v>
      </c>
      <c r="BX70" s="53">
        <f t="shared" si="179"/>
        <v>12192</v>
      </c>
      <c r="BY70" s="53">
        <f t="shared" si="180"/>
        <v>0</v>
      </c>
      <c r="BZ70" s="53">
        <f t="shared" si="181"/>
        <v>5301.6</v>
      </c>
      <c r="CA70" s="53">
        <f t="shared" si="182"/>
        <v>12266.5</v>
      </c>
      <c r="CB70" s="53">
        <f t="shared" si="183"/>
        <v>40888.333333333336</v>
      </c>
      <c r="CC70" s="53">
        <f t="shared" si="184"/>
        <v>4088.833333333333</v>
      </c>
      <c r="CD70" s="53">
        <f t="shared" si="185"/>
        <v>51519.299999999996</v>
      </c>
      <c r="CE70" s="53">
        <f t="shared" si="186"/>
        <v>8831.880000000001</v>
      </c>
      <c r="CF70" s="53">
        <f t="shared" si="187"/>
        <v>5887.92</v>
      </c>
      <c r="CG70" s="53">
        <f t="shared" si="188"/>
        <v>14131.008000000002</v>
      </c>
      <c r="CH70" s="54">
        <f t="shared" si="189"/>
        <v>468091.37466666661</v>
      </c>
      <c r="CI70" s="46"/>
      <c r="CJ70" s="46"/>
      <c r="CK70" s="46"/>
      <c r="CL70" s="46"/>
      <c r="CM70" s="46"/>
      <c r="CN70" s="46"/>
      <c r="CO70" s="46"/>
      <c r="CP70" s="46"/>
    </row>
    <row r="71" spans="1:94" ht="27" customHeight="1" x14ac:dyDescent="0.2">
      <c r="A71" s="8">
        <v>67</v>
      </c>
      <c r="B71" s="8">
        <v>1008</v>
      </c>
      <c r="C71" s="43" t="s">
        <v>53</v>
      </c>
      <c r="D71" s="44" t="str">
        <f t="shared" si="166"/>
        <v>Espinosa</v>
      </c>
      <c r="E71" s="44" t="str">
        <f t="shared" si="167"/>
        <v xml:space="preserve">Garcia </v>
      </c>
      <c r="F71" s="44" t="str">
        <f t="shared" si="168"/>
        <v>Lourdes Naharai</v>
      </c>
      <c r="G71" s="8">
        <v>3</v>
      </c>
      <c r="H71" s="8" t="s">
        <v>52</v>
      </c>
      <c r="I71" s="45" t="s">
        <v>51</v>
      </c>
      <c r="J71" s="45" t="s">
        <v>37</v>
      </c>
      <c r="K71" s="46" t="s">
        <v>23</v>
      </c>
      <c r="L71" s="46" t="s">
        <v>17</v>
      </c>
      <c r="M71" s="46" t="s">
        <v>11</v>
      </c>
      <c r="N71" s="47" t="str">
        <f>IF(H71&gt;0,MID(H71,9,2)&amp;"/"&amp;MID(H71,7,2)&amp;"/"&amp;MID(H71,5,2),0)</f>
        <v>11/02/88</v>
      </c>
      <c r="O71" s="48">
        <f t="shared" ca="1" si="169"/>
        <v>29</v>
      </c>
      <c r="P71" s="1">
        <v>42584</v>
      </c>
      <c r="Q71" s="2" t="str">
        <f>IF(P71&gt;0,(DATEDIF(P71,$P$1,"y")&amp;" años, "&amp;DATEDIF(P71,$P$1,"YM")&amp;" meses, "&amp;DATEDIF(P71,$P$1,"md")&amp;" dias."),0)</f>
        <v>2 años, 4 meses, 29 dias.</v>
      </c>
      <c r="R71" s="2">
        <f t="shared" si="170"/>
        <v>2</v>
      </c>
      <c r="S71" s="2">
        <f t="shared" si="171"/>
        <v>28</v>
      </c>
      <c r="T71" s="2">
        <f t="shared" si="172"/>
        <v>881</v>
      </c>
      <c r="U71" s="46" t="s">
        <v>3</v>
      </c>
      <c r="V71" s="46">
        <v>17</v>
      </c>
      <c r="W71" s="46" t="s">
        <v>16</v>
      </c>
      <c r="X71" s="46">
        <v>40</v>
      </c>
      <c r="Y71" s="46" t="s">
        <v>15</v>
      </c>
      <c r="Z71" s="46" t="s">
        <v>1</v>
      </c>
      <c r="AA71" s="49">
        <f>IF(C71="Plaza sin presupuesto",0,IF(W71="si",IF(X71=30,VLOOKUP(V71,'[1]Tablas despensa y pasaje 2018'!$A$3:$I$38,2,0),IF(PLANTILLA!X71=40,VLOOKUP(PLANTILLA!V71,'[1]Tablas despensa y pasaje 2018'!$A$3:$I$38,6,0))),IF(X71=30,VLOOKUP(V71,'[1]Tablas despensa y pasaje 2018'!$A$41:$I$48,2,0),IF(X71=40,VLOOKUP(V71,'[1]Tablas despensa y pasaje 2018'!$A$41:$I$48,6,0),0))))</f>
        <v>19532</v>
      </c>
      <c r="AB71" s="49">
        <f>IF(C71="Plaza sin presupuesto",0,IF(W71="si",IF(X71=30,VLOOKUP(V71,'[1]Tablas despensa y pasaje 2018'!$A$3:$I$38,3,0),IF(PLANTILLA!X71=40,VLOOKUP(PLANTILLA!V71,'[1]Tablas despensa y pasaje 2018'!$A$3:$I$38,7,0))),IF(X71=30,VLOOKUP(V71,'[1]Tablas despensa y pasaje 2018'!$A$41:$I$48,3,0),IF(X71=40,VLOOKUP(V71,'[1]Tablas despensa y pasaje 2018'!$A$41:$I$48,7,0),0))))</f>
        <v>1286</v>
      </c>
      <c r="AC71" s="49">
        <f>IF(C71="Plaza sin presupuesto",0,IF(W71="si",IF(X71=30,VLOOKUP(V71,'[1]Tablas despensa y pasaje 2018'!$A$3:$I$38,4,0),IF(PLANTILLA!X71=40,VLOOKUP(PLANTILLA!V71,'[1]Tablas despensa y pasaje 2018'!$A$3:$I$38,8,0))),IF(X71=30,VLOOKUP(V71,'[1]Tablas despensa y pasaje 2018'!$A$41:$I$48,4,0),IF(X71=40,VLOOKUP(V71,'[1]Tablas despensa y pasaje 2018'!$A$41:$I$48,8,0),0))))</f>
        <v>857</v>
      </c>
      <c r="AD71" s="49">
        <f t="shared" si="173"/>
        <v>0</v>
      </c>
      <c r="AE71" s="49">
        <f t="shared" si="174"/>
        <v>0</v>
      </c>
      <c r="AF71" s="49">
        <f>IF((DATEDIF(P71,$AE$1,"d"))&lt;365,((((DATEDIF(P71,$AE$1,"d"))*15)/365)*(AA71/30)),IF(AND(K71="SEIJAL",Y71="B"),((AA71+AB71+AC71+AD71+AE71)/30)*15,(AA71/30)*15))</f>
        <v>9766</v>
      </c>
      <c r="AG71" s="49">
        <f t="shared" si="175"/>
        <v>32553.333333333336</v>
      </c>
      <c r="AH71" s="49">
        <f t="shared" si="176"/>
        <v>3255.3333333333335</v>
      </c>
      <c r="AI71" s="49">
        <f t="shared" si="128"/>
        <v>3418.1</v>
      </c>
      <c r="AJ71" s="49">
        <f t="shared" si="129"/>
        <v>585.95999999999992</v>
      </c>
      <c r="AK71" s="49">
        <f t="shared" si="130"/>
        <v>390.64</v>
      </c>
      <c r="AL71" s="49">
        <f t="shared" si="131"/>
        <v>937.53600000000006</v>
      </c>
      <c r="AM71" s="50">
        <f>IF((SUM(AA71:AE71)/2)=0,0,(((((SUM(AA71:AE71)/2)-(VLOOKUP((SUM(AA71:AE71)/2),'[1]Tablas ISR'!$A$4:$D$14,1,TRUE)))*(VLOOKUP((SUM(AA71:AE71)/2),'[1]Tablas ISR'!$A$4:$D$14,4,TRUE)))/100)+(VLOOKUP((SUM(AA71:AE71)/2),'[1]Tablas ISR'!$A$4:$D$14,3,TRUE)))*2)</f>
        <v>3353.4312479999999</v>
      </c>
      <c r="AN71" s="51">
        <f t="shared" si="132"/>
        <v>2246.1800000000003</v>
      </c>
      <c r="AO71" s="49">
        <f t="shared" si="133"/>
        <v>9766</v>
      </c>
      <c r="AP71" s="49">
        <f t="shared" si="134"/>
        <v>643</v>
      </c>
      <c r="AQ71" s="49">
        <f t="shared" si="135"/>
        <v>428.5</v>
      </c>
      <c r="AR71" s="49">
        <f t="shared" si="136"/>
        <v>0</v>
      </c>
      <c r="AS71" s="49">
        <f t="shared" si="137"/>
        <v>0</v>
      </c>
      <c r="AT71" s="49">
        <f t="shared" si="138"/>
        <v>1709.05</v>
      </c>
      <c r="AU71" s="49">
        <f t="shared" si="139"/>
        <v>292.97999999999996</v>
      </c>
      <c r="AV71" s="49">
        <f t="shared" si="140"/>
        <v>468.76800000000003</v>
      </c>
      <c r="AW71" s="52">
        <f t="shared" si="141"/>
        <v>8037.6943759999995</v>
      </c>
      <c r="AX71" s="3">
        <f t="shared" si="142"/>
        <v>651.06666666666672</v>
      </c>
      <c r="AY71" s="3">
        <f t="shared" si="143"/>
        <v>42.866666666666667</v>
      </c>
      <c r="AZ71" s="3">
        <f t="shared" si="144"/>
        <v>28.566666666666666</v>
      </c>
      <c r="BA71" s="3">
        <f t="shared" si="145"/>
        <v>0</v>
      </c>
      <c r="BB71" s="3">
        <f t="shared" si="146"/>
        <v>0</v>
      </c>
      <c r="BC71" s="3">
        <f t="shared" si="147"/>
        <v>26.756164383561643</v>
      </c>
      <c r="BD71" s="3">
        <f t="shared" si="148"/>
        <v>89.18721461187215</v>
      </c>
      <c r="BE71" s="3">
        <f t="shared" si="149"/>
        <v>8.9187214611872143</v>
      </c>
      <c r="BF71" s="3">
        <f t="shared" si="150"/>
        <v>113.93666666666667</v>
      </c>
      <c r="BG71" s="3">
        <f t="shared" si="151"/>
        <v>19.531999999999996</v>
      </c>
      <c r="BH71" s="3">
        <f t="shared" si="152"/>
        <v>13.021333333333333</v>
      </c>
      <c r="BI71" s="3">
        <f t="shared" si="153"/>
        <v>31.251200000000001</v>
      </c>
      <c r="BJ71" s="3">
        <f t="shared" si="154"/>
        <v>19532</v>
      </c>
      <c r="BK71" s="3">
        <f t="shared" si="155"/>
        <v>1286</v>
      </c>
      <c r="BL71" s="3">
        <f t="shared" si="156"/>
        <v>857</v>
      </c>
      <c r="BM71" s="3">
        <f t="shared" si="157"/>
        <v>0</v>
      </c>
      <c r="BN71" s="3">
        <f t="shared" si="158"/>
        <v>0</v>
      </c>
      <c r="BO71" s="3">
        <f t="shared" si="159"/>
        <v>813.83333333333337</v>
      </c>
      <c r="BP71" s="3">
        <f t="shared" si="160"/>
        <v>2712.7777777777778</v>
      </c>
      <c r="BQ71" s="3">
        <f t="shared" si="161"/>
        <v>271.27777777777777</v>
      </c>
      <c r="BR71" s="3">
        <f t="shared" si="162"/>
        <v>3418.1</v>
      </c>
      <c r="BS71" s="3">
        <f t="shared" si="163"/>
        <v>585.95999999999992</v>
      </c>
      <c r="BT71" s="3">
        <f t="shared" si="164"/>
        <v>390.64</v>
      </c>
      <c r="BU71" s="3">
        <f t="shared" si="165"/>
        <v>937.53600000000006</v>
      </c>
      <c r="BV71" s="53">
        <f t="shared" si="177"/>
        <v>234384</v>
      </c>
      <c r="BW71" s="53">
        <f t="shared" si="178"/>
        <v>15432</v>
      </c>
      <c r="BX71" s="53">
        <f t="shared" si="179"/>
        <v>10284</v>
      </c>
      <c r="BY71" s="53">
        <f t="shared" si="180"/>
        <v>0</v>
      </c>
      <c r="BZ71" s="53">
        <f t="shared" si="181"/>
        <v>0</v>
      </c>
      <c r="CA71" s="53">
        <f t="shared" si="182"/>
        <v>9766</v>
      </c>
      <c r="CB71" s="53">
        <f t="shared" si="183"/>
        <v>32553.333333333336</v>
      </c>
      <c r="CC71" s="53">
        <f t="shared" si="184"/>
        <v>3255.3333333333335</v>
      </c>
      <c r="CD71" s="53">
        <f t="shared" si="185"/>
        <v>41017.199999999997</v>
      </c>
      <c r="CE71" s="53">
        <f t="shared" si="186"/>
        <v>7031.5199999999986</v>
      </c>
      <c r="CF71" s="53">
        <f t="shared" si="187"/>
        <v>4687.68</v>
      </c>
      <c r="CG71" s="53">
        <f t="shared" si="188"/>
        <v>11250.432000000001</v>
      </c>
      <c r="CH71" s="54">
        <f t="shared" si="189"/>
        <v>369661.49866666668</v>
      </c>
      <c r="CI71" s="46"/>
      <c r="CJ71" s="46"/>
      <c r="CK71" s="46"/>
      <c r="CL71" s="46"/>
      <c r="CM71" s="46"/>
      <c r="CN71" s="46"/>
      <c r="CO71" s="46"/>
      <c r="CP71" s="46"/>
    </row>
    <row r="72" spans="1:94" ht="27" customHeight="1" x14ac:dyDescent="0.2">
      <c r="A72" s="8">
        <v>68</v>
      </c>
      <c r="B72" s="8">
        <v>915</v>
      </c>
      <c r="C72" s="43" t="s">
        <v>50</v>
      </c>
      <c r="D72" s="44" t="str">
        <f t="shared" si="166"/>
        <v>Gama</v>
      </c>
      <c r="E72" s="44" t="str">
        <f t="shared" si="167"/>
        <v xml:space="preserve">Hernandez </v>
      </c>
      <c r="F72" s="44" t="str">
        <f t="shared" si="168"/>
        <v>Viviana</v>
      </c>
      <c r="G72" s="8">
        <v>1</v>
      </c>
      <c r="H72" s="8" t="s">
        <v>49</v>
      </c>
      <c r="I72" s="45" t="s">
        <v>48</v>
      </c>
      <c r="J72" s="45" t="s">
        <v>37</v>
      </c>
      <c r="K72" s="46" t="s">
        <v>18</v>
      </c>
      <c r="L72" s="46" t="s">
        <v>17</v>
      </c>
      <c r="M72" s="46" t="s">
        <v>11</v>
      </c>
      <c r="N72" s="47" t="str">
        <f>IF(H72&gt;0,MID(H72,9,2)&amp;"/"&amp;MID(H72,7,2)&amp;"/"&amp;MID(H72,5,2),0)</f>
        <v>29/03/86</v>
      </c>
      <c r="O72" s="48">
        <f t="shared" ca="1" si="169"/>
        <v>31</v>
      </c>
      <c r="P72" s="1">
        <v>39645</v>
      </c>
      <c r="Q72" s="2" t="str">
        <f>IF(P72&gt;0,(DATEDIF(P72,$P$1,"y")&amp;" años, "&amp;DATEDIF(P72,$P$1,"YM")&amp;" meses, "&amp;DATEDIF(P72,$P$1,"md")&amp;" dias."),0)</f>
        <v>10 años, 5 meses, 15 dias.</v>
      </c>
      <c r="R72" s="2">
        <f t="shared" si="170"/>
        <v>10</v>
      </c>
      <c r="S72" s="2">
        <f t="shared" si="171"/>
        <v>125</v>
      </c>
      <c r="T72" s="2">
        <f t="shared" si="172"/>
        <v>3820</v>
      </c>
      <c r="U72" s="46" t="s">
        <v>3</v>
      </c>
      <c r="V72" s="46">
        <v>14</v>
      </c>
      <c r="W72" s="46" t="s">
        <v>16</v>
      </c>
      <c r="X72" s="46">
        <v>40</v>
      </c>
      <c r="Y72" s="46" t="s">
        <v>15</v>
      </c>
      <c r="Z72" s="46" t="s">
        <v>1</v>
      </c>
      <c r="AA72" s="49">
        <f>IF(C72="Plaza sin presupuesto",0,IF(W72="si",IF(X72=30,VLOOKUP(V72,'[1]Tablas despensa y pasaje 2018'!$A$3:$I$38,2,0),IF(PLANTILLA!X72=40,VLOOKUP(PLANTILLA!V72,'[1]Tablas despensa y pasaje 2018'!$A$3:$I$38,6,0))),IF(X72=30,VLOOKUP(V72,'[1]Tablas despensa y pasaje 2018'!$A$41:$I$48,2,0),IF(X72=40,VLOOKUP(V72,'[1]Tablas despensa y pasaje 2018'!$A$41:$I$48,6,0),0))))</f>
        <v>14217</v>
      </c>
      <c r="AB72" s="49">
        <f>IF(C72="Plaza sin presupuesto",0,IF(W72="si",IF(X72=30,VLOOKUP(V72,'[1]Tablas despensa y pasaje 2018'!$A$3:$I$38,3,0),IF(PLANTILLA!X72=40,VLOOKUP(PLANTILLA!V72,'[1]Tablas despensa y pasaje 2018'!$A$3:$I$38,7,0))),IF(X72=30,VLOOKUP(V72,'[1]Tablas despensa y pasaje 2018'!$A$41:$I$48,3,0),IF(X72=40,VLOOKUP(V72,'[1]Tablas despensa y pasaje 2018'!$A$41:$I$48,7,0),0))))</f>
        <v>1163</v>
      </c>
      <c r="AC72" s="49">
        <f>IF(C72="Plaza sin presupuesto",0,IF(W72="si",IF(X72=30,VLOOKUP(V72,'[1]Tablas despensa y pasaje 2018'!$A$3:$I$38,4,0),IF(PLANTILLA!X72=40,VLOOKUP(PLANTILLA!V72,'[1]Tablas despensa y pasaje 2018'!$A$3:$I$38,8,0))),IF(X72=30,VLOOKUP(V72,'[1]Tablas despensa y pasaje 2018'!$A$41:$I$48,4,0),IF(X72=40,VLOOKUP(V72,'[1]Tablas despensa y pasaje 2018'!$A$41:$I$48,8,0),0))))</f>
        <v>722</v>
      </c>
      <c r="AD72" s="49">
        <f t="shared" si="173"/>
        <v>0</v>
      </c>
      <c r="AE72" s="49">
        <f t="shared" si="174"/>
        <v>265.08</v>
      </c>
      <c r="AF72" s="49">
        <f>IF((DATEDIF(P72,$AE$1,"d"))&lt;365,((((DATEDIF(P72,$AE$1,"d"))*15)/365)*(AA72/30)),IF(AND(K72="SEIJAL",Y72="B"),((AA72+AB72+AC72+AD72+AE72)/30)*15,(AA72/30)*15))</f>
        <v>7108.5</v>
      </c>
      <c r="AG72" s="49">
        <f t="shared" si="175"/>
        <v>23695</v>
      </c>
      <c r="AH72" s="49">
        <f t="shared" si="176"/>
        <v>2369.5</v>
      </c>
      <c r="AI72" s="49">
        <f t="shared" si="128"/>
        <v>2487.9749999999999</v>
      </c>
      <c r="AJ72" s="49">
        <f t="shared" si="129"/>
        <v>426.51</v>
      </c>
      <c r="AK72" s="49">
        <f t="shared" si="130"/>
        <v>284.34000000000003</v>
      </c>
      <c r="AL72" s="49">
        <f t="shared" si="131"/>
        <v>682.41600000000005</v>
      </c>
      <c r="AM72" s="50">
        <f>IF((SUM(AA72:AE72)/2)=0,0,(((((SUM(AA72:AE72)/2)-(VLOOKUP((SUM(AA72:AE72)/2),'[1]Tablas ISR'!$A$4:$D$14,1,TRUE)))*(VLOOKUP((SUM(AA72:AE72)/2),'[1]Tablas ISR'!$A$4:$D$14,4,TRUE)))/100)+(VLOOKUP((SUM(AA72:AE72)/2),'[1]Tablas ISR'!$A$4:$D$14,3,TRUE)))*2)</f>
        <v>2219.6595360000001</v>
      </c>
      <c r="AN72" s="51">
        <f t="shared" si="132"/>
        <v>1634.9550000000002</v>
      </c>
      <c r="AO72" s="49">
        <f t="shared" si="133"/>
        <v>7108.5</v>
      </c>
      <c r="AP72" s="49">
        <f t="shared" si="134"/>
        <v>581.5</v>
      </c>
      <c r="AQ72" s="49">
        <f t="shared" si="135"/>
        <v>361</v>
      </c>
      <c r="AR72" s="49">
        <f t="shared" si="136"/>
        <v>0</v>
      </c>
      <c r="AS72" s="49">
        <f t="shared" si="137"/>
        <v>132.54</v>
      </c>
      <c r="AT72" s="49">
        <f t="shared" si="138"/>
        <v>1243.9875</v>
      </c>
      <c r="AU72" s="49">
        <f t="shared" si="139"/>
        <v>213.255</v>
      </c>
      <c r="AV72" s="49">
        <f t="shared" si="140"/>
        <v>341.20800000000003</v>
      </c>
      <c r="AW72" s="52">
        <f t="shared" si="141"/>
        <v>6256.2327319999995</v>
      </c>
      <c r="AX72" s="3">
        <f t="shared" si="142"/>
        <v>473.9</v>
      </c>
      <c r="AY72" s="3">
        <f t="shared" si="143"/>
        <v>38.766666666666666</v>
      </c>
      <c r="AZ72" s="3">
        <f t="shared" si="144"/>
        <v>24.066666666666666</v>
      </c>
      <c r="BA72" s="3">
        <f t="shared" si="145"/>
        <v>0</v>
      </c>
      <c r="BB72" s="3">
        <f t="shared" si="146"/>
        <v>8.8360000000000003</v>
      </c>
      <c r="BC72" s="3">
        <f t="shared" si="147"/>
        <v>19.475342465753425</v>
      </c>
      <c r="BD72" s="3">
        <f t="shared" si="148"/>
        <v>64.917808219178085</v>
      </c>
      <c r="BE72" s="3">
        <f t="shared" si="149"/>
        <v>6.4917808219178079</v>
      </c>
      <c r="BF72" s="3">
        <f t="shared" si="150"/>
        <v>82.93249999999999</v>
      </c>
      <c r="BG72" s="3">
        <f t="shared" si="151"/>
        <v>14.217000000000001</v>
      </c>
      <c r="BH72" s="3">
        <f t="shared" si="152"/>
        <v>9.4780000000000015</v>
      </c>
      <c r="BI72" s="3">
        <f t="shared" si="153"/>
        <v>22.747200000000003</v>
      </c>
      <c r="BJ72" s="3">
        <f t="shared" si="154"/>
        <v>14217</v>
      </c>
      <c r="BK72" s="3">
        <f t="shared" si="155"/>
        <v>1163</v>
      </c>
      <c r="BL72" s="3">
        <f t="shared" si="156"/>
        <v>722</v>
      </c>
      <c r="BM72" s="3">
        <f t="shared" si="157"/>
        <v>0</v>
      </c>
      <c r="BN72" s="3">
        <f t="shared" si="158"/>
        <v>265.08</v>
      </c>
      <c r="BO72" s="3">
        <f t="shared" si="159"/>
        <v>592.375</v>
      </c>
      <c r="BP72" s="3">
        <f t="shared" si="160"/>
        <v>1974.5833333333333</v>
      </c>
      <c r="BQ72" s="3">
        <f t="shared" si="161"/>
        <v>197.45833333333334</v>
      </c>
      <c r="BR72" s="3">
        <f t="shared" si="162"/>
        <v>2487.9749999999999</v>
      </c>
      <c r="BS72" s="3">
        <f t="shared" si="163"/>
        <v>426.51</v>
      </c>
      <c r="BT72" s="3">
        <f t="shared" si="164"/>
        <v>284.34000000000003</v>
      </c>
      <c r="BU72" s="3">
        <f t="shared" si="165"/>
        <v>682.41600000000005</v>
      </c>
      <c r="BV72" s="53">
        <f t="shared" si="177"/>
        <v>170604</v>
      </c>
      <c r="BW72" s="53">
        <f t="shared" si="178"/>
        <v>13956</v>
      </c>
      <c r="BX72" s="53">
        <f t="shared" si="179"/>
        <v>8664</v>
      </c>
      <c r="BY72" s="53">
        <f t="shared" si="180"/>
        <v>0</v>
      </c>
      <c r="BZ72" s="53">
        <f t="shared" si="181"/>
        <v>3180.96</v>
      </c>
      <c r="CA72" s="53">
        <f t="shared" si="182"/>
        <v>7108.5</v>
      </c>
      <c r="CB72" s="53">
        <f t="shared" si="183"/>
        <v>23695</v>
      </c>
      <c r="CC72" s="53">
        <f t="shared" si="184"/>
        <v>2369.5</v>
      </c>
      <c r="CD72" s="53">
        <f t="shared" si="185"/>
        <v>29855.699999999997</v>
      </c>
      <c r="CE72" s="53">
        <f t="shared" si="186"/>
        <v>5118.12</v>
      </c>
      <c r="CF72" s="53">
        <f t="shared" si="187"/>
        <v>3412.0800000000004</v>
      </c>
      <c r="CG72" s="53">
        <f t="shared" si="188"/>
        <v>8188.9920000000002</v>
      </c>
      <c r="CH72" s="54">
        <f t="shared" si="189"/>
        <v>276152.85200000001</v>
      </c>
      <c r="CI72" s="46"/>
      <c r="CJ72" s="46"/>
      <c r="CK72" s="46"/>
      <c r="CL72" s="46"/>
      <c r="CM72" s="46"/>
      <c r="CN72" s="46"/>
      <c r="CO72" s="46"/>
      <c r="CP72" s="46"/>
    </row>
    <row r="73" spans="1:94" ht="27" customHeight="1" x14ac:dyDescent="0.2">
      <c r="A73" s="8">
        <v>69</v>
      </c>
      <c r="B73" s="8">
        <v>916</v>
      </c>
      <c r="C73" s="43" t="s">
        <v>47</v>
      </c>
      <c r="D73" s="44" t="str">
        <f t="shared" si="166"/>
        <v>Gomez</v>
      </c>
      <c r="E73" s="44" t="str">
        <f t="shared" si="167"/>
        <v xml:space="preserve">Ramirez </v>
      </c>
      <c r="F73" s="44" t="str">
        <f t="shared" si="168"/>
        <v>Ma Dolores</v>
      </c>
      <c r="G73" s="8">
        <v>3</v>
      </c>
      <c r="H73" s="8" t="s">
        <v>46</v>
      </c>
      <c r="I73" s="45" t="s">
        <v>45</v>
      </c>
      <c r="J73" s="45" t="s">
        <v>37</v>
      </c>
      <c r="K73" s="46" t="s">
        <v>18</v>
      </c>
      <c r="L73" s="46" t="s">
        <v>17</v>
      </c>
      <c r="M73" s="46" t="s">
        <v>4</v>
      </c>
      <c r="N73" s="47" t="str">
        <f>IF(H73&gt;0,MID(H73,9,2)&amp;"/"&amp;MID(H73,7,2)&amp;"/"&amp;MID(H73,5,2),0)</f>
        <v>28/03/58</v>
      </c>
      <c r="O73" s="48">
        <f t="shared" ca="1" si="169"/>
        <v>59</v>
      </c>
      <c r="P73" s="1">
        <v>41349</v>
      </c>
      <c r="Q73" s="2" t="str">
        <f>IF(P73&gt;0,(DATEDIF(P73,$P$1,"y")&amp;" años, "&amp;DATEDIF(P73,$P$1,"YM")&amp;" meses, "&amp;DATEDIF(P73,$P$1,"md")&amp;" dias."),0)</f>
        <v>5 años, 9 meses, 15 dias.</v>
      </c>
      <c r="R73" s="2">
        <f t="shared" si="170"/>
        <v>5</v>
      </c>
      <c r="S73" s="2">
        <f t="shared" si="171"/>
        <v>69</v>
      </c>
      <c r="T73" s="2">
        <f t="shared" si="172"/>
        <v>2116</v>
      </c>
      <c r="U73" s="46" t="s">
        <v>3</v>
      </c>
      <c r="V73" s="46">
        <v>13</v>
      </c>
      <c r="W73" s="46" t="s">
        <v>1</v>
      </c>
      <c r="X73" s="46">
        <v>40</v>
      </c>
      <c r="Y73" s="46" t="s">
        <v>2</v>
      </c>
      <c r="Z73" s="46" t="s">
        <v>16</v>
      </c>
      <c r="AA73" s="49">
        <f>IF(C73="Plaza sin presupuesto",0,IF(W73="si",IF(X73=30,VLOOKUP(V73,'[1]Tablas despensa y pasaje 2018'!$A$3:$I$38,2,0),IF(PLANTILLA!X73=40,VLOOKUP(PLANTILLA!V73,'[1]Tablas despensa y pasaje 2018'!$A$3:$I$38,6,0))),IF(X73=30,VLOOKUP(V73,'[1]Tablas despensa y pasaje 2018'!$A$41:$I$48,2,0),IF(X73=40,VLOOKUP(V73,'[1]Tablas despensa y pasaje 2018'!$A$41:$I$48,6,0),0))))</f>
        <v>13714</v>
      </c>
      <c r="AB73" s="49">
        <f>IF(C73="Plaza sin presupuesto",0,IF(W73="si",IF(X73=30,VLOOKUP(V73,'[1]Tablas despensa y pasaje 2018'!$A$3:$I$38,3,0),IF(PLANTILLA!X73=40,VLOOKUP(PLANTILLA!V73,'[1]Tablas despensa y pasaje 2018'!$A$3:$I$38,7,0))),IF(X73=30,VLOOKUP(V73,'[1]Tablas despensa y pasaje 2018'!$A$41:$I$48,3,0),IF(X73=40,VLOOKUP(V73,'[1]Tablas despensa y pasaje 2018'!$A$41:$I$48,7,0),0))))</f>
        <v>1128</v>
      </c>
      <c r="AC73" s="49">
        <f>IF(C73="Plaza sin presupuesto",0,IF(W73="si",IF(X73=30,VLOOKUP(V73,'[1]Tablas despensa y pasaje 2018'!$A$3:$I$38,4,0),IF(PLANTILLA!X73=40,VLOOKUP(PLANTILLA!V73,'[1]Tablas despensa y pasaje 2018'!$A$3:$I$38,8,0))),IF(X73=30,VLOOKUP(V73,'[1]Tablas despensa y pasaje 2018'!$A$41:$I$48,4,0),IF(X73=40,VLOOKUP(V73,'[1]Tablas despensa y pasaje 2018'!$A$41:$I$48,8,0),0))))</f>
        <v>703</v>
      </c>
      <c r="AD73" s="49">
        <f t="shared" si="173"/>
        <v>0</v>
      </c>
      <c r="AE73" s="49">
        <f t="shared" si="174"/>
        <v>176.72</v>
      </c>
      <c r="AF73" s="49">
        <f>IF((DATEDIF(P73,$AE$1,"d"))&lt;365,((((DATEDIF(P73,$AE$1,"d"))*15)/365)*(AA73/30)),IF(AND(K73="SEIJAL",Y73="B"),((AA73+AB73+AC73+AD73+AE73)/30)*15,(AA73/30)*15))</f>
        <v>6857</v>
      </c>
      <c r="AG73" s="49">
        <f t="shared" si="175"/>
        <v>22856.666666666668</v>
      </c>
      <c r="AH73" s="49">
        <f t="shared" si="176"/>
        <v>2285.6666666666665</v>
      </c>
      <c r="AI73" s="49">
        <f t="shared" si="128"/>
        <v>2399.9499999999998</v>
      </c>
      <c r="AJ73" s="49">
        <f t="shared" si="129"/>
        <v>411.41999999999996</v>
      </c>
      <c r="AK73" s="49">
        <f t="shared" si="130"/>
        <v>274.28000000000003</v>
      </c>
      <c r="AL73" s="49">
        <f t="shared" si="131"/>
        <v>658.27200000000005</v>
      </c>
      <c r="AM73" s="50">
        <f>IF((SUM(AA73:AE73)/2)=0,0,(((((SUM(AA73:AE73)/2)-(VLOOKUP((SUM(AA73:AE73)/2),'[1]Tablas ISR'!$A$4:$D$14,1,TRUE)))*(VLOOKUP((SUM(AA73:AE73)/2),'[1]Tablas ISR'!$A$4:$D$14,4,TRUE)))/100)+(VLOOKUP((SUM(AA73:AE73)/2),'[1]Tablas ISR'!$A$4:$D$14,3,TRUE)))*2)</f>
        <v>2081.8106399999997</v>
      </c>
      <c r="AN73" s="51">
        <f t="shared" si="132"/>
        <v>1577.1100000000001</v>
      </c>
      <c r="AO73" s="49">
        <f t="shared" si="133"/>
        <v>6857</v>
      </c>
      <c r="AP73" s="49">
        <f t="shared" si="134"/>
        <v>564</v>
      </c>
      <c r="AQ73" s="49">
        <f t="shared" si="135"/>
        <v>351.5</v>
      </c>
      <c r="AR73" s="49">
        <f t="shared" si="136"/>
        <v>0</v>
      </c>
      <c r="AS73" s="49">
        <f t="shared" si="137"/>
        <v>88.36</v>
      </c>
      <c r="AT73" s="49">
        <f t="shared" si="138"/>
        <v>1199.9749999999999</v>
      </c>
      <c r="AU73" s="49">
        <f t="shared" si="139"/>
        <v>205.70999999999998</v>
      </c>
      <c r="AV73" s="49">
        <f t="shared" si="140"/>
        <v>329.13600000000002</v>
      </c>
      <c r="AW73" s="52">
        <f t="shared" si="141"/>
        <v>6031.3996799999995</v>
      </c>
      <c r="AX73" s="3">
        <f t="shared" si="142"/>
        <v>457.13333333333333</v>
      </c>
      <c r="AY73" s="3">
        <f t="shared" si="143"/>
        <v>37.6</v>
      </c>
      <c r="AZ73" s="3">
        <f t="shared" si="144"/>
        <v>23.433333333333334</v>
      </c>
      <c r="BA73" s="3">
        <f t="shared" si="145"/>
        <v>0</v>
      </c>
      <c r="BB73" s="3">
        <f t="shared" si="146"/>
        <v>5.8906666666666663</v>
      </c>
      <c r="BC73" s="3">
        <f t="shared" si="147"/>
        <v>18.786301369863015</v>
      </c>
      <c r="BD73" s="3">
        <f t="shared" si="148"/>
        <v>62.621004566210047</v>
      </c>
      <c r="BE73" s="3">
        <f t="shared" si="149"/>
        <v>6.2621004566210043</v>
      </c>
      <c r="BF73" s="3">
        <f t="shared" si="150"/>
        <v>79.998333333333321</v>
      </c>
      <c r="BG73" s="3">
        <f t="shared" si="151"/>
        <v>13.713999999999999</v>
      </c>
      <c r="BH73" s="3">
        <f t="shared" si="152"/>
        <v>9.1426666666666669</v>
      </c>
      <c r="BI73" s="3">
        <f t="shared" si="153"/>
        <v>21.942400000000003</v>
      </c>
      <c r="BJ73" s="3">
        <f t="shared" si="154"/>
        <v>13714</v>
      </c>
      <c r="BK73" s="3">
        <f t="shared" si="155"/>
        <v>1128</v>
      </c>
      <c r="BL73" s="3">
        <f t="shared" si="156"/>
        <v>703</v>
      </c>
      <c r="BM73" s="3">
        <f t="shared" si="157"/>
        <v>0</v>
      </c>
      <c r="BN73" s="3">
        <f t="shared" si="158"/>
        <v>176.72</v>
      </c>
      <c r="BO73" s="3">
        <f t="shared" si="159"/>
        <v>571.41666666666663</v>
      </c>
      <c r="BP73" s="3">
        <f t="shared" si="160"/>
        <v>1904.7222222222224</v>
      </c>
      <c r="BQ73" s="3">
        <f t="shared" si="161"/>
        <v>190.4722222222222</v>
      </c>
      <c r="BR73" s="3">
        <f t="shared" si="162"/>
        <v>2399.9499999999998</v>
      </c>
      <c r="BS73" s="3">
        <f t="shared" si="163"/>
        <v>411.41999999999996</v>
      </c>
      <c r="BT73" s="3">
        <f t="shared" si="164"/>
        <v>274.28000000000003</v>
      </c>
      <c r="BU73" s="3">
        <f t="shared" si="165"/>
        <v>658.27200000000005</v>
      </c>
      <c r="BV73" s="53">
        <f t="shared" si="177"/>
        <v>164568</v>
      </c>
      <c r="BW73" s="53">
        <f t="shared" si="178"/>
        <v>13536</v>
      </c>
      <c r="BX73" s="53">
        <f t="shared" si="179"/>
        <v>8436</v>
      </c>
      <c r="BY73" s="53">
        <f t="shared" si="180"/>
        <v>0</v>
      </c>
      <c r="BZ73" s="53">
        <f t="shared" si="181"/>
        <v>2120.64</v>
      </c>
      <c r="CA73" s="53">
        <f t="shared" si="182"/>
        <v>6857</v>
      </c>
      <c r="CB73" s="53">
        <f t="shared" si="183"/>
        <v>22856.666666666668</v>
      </c>
      <c r="CC73" s="53">
        <f t="shared" si="184"/>
        <v>2285.6666666666665</v>
      </c>
      <c r="CD73" s="53">
        <f t="shared" si="185"/>
        <v>28799.399999999998</v>
      </c>
      <c r="CE73" s="53">
        <f t="shared" si="186"/>
        <v>4937.0399999999991</v>
      </c>
      <c r="CF73" s="53">
        <f t="shared" si="187"/>
        <v>3291.3600000000006</v>
      </c>
      <c r="CG73" s="53">
        <f t="shared" si="188"/>
        <v>7899.264000000001</v>
      </c>
      <c r="CH73" s="54">
        <f t="shared" si="189"/>
        <v>265587.03733333334</v>
      </c>
      <c r="CI73" s="46"/>
      <c r="CJ73" s="46"/>
      <c r="CK73" s="46"/>
      <c r="CL73" s="46"/>
      <c r="CM73" s="46"/>
      <c r="CN73" s="46"/>
      <c r="CO73" s="46"/>
      <c r="CP73" s="46"/>
    </row>
    <row r="74" spans="1:94" s="68" customFormat="1" ht="27" customHeight="1" x14ac:dyDescent="0.2">
      <c r="A74" s="56">
        <v>70</v>
      </c>
      <c r="B74" s="56">
        <v>984</v>
      </c>
      <c r="C74" s="56" t="s">
        <v>38</v>
      </c>
      <c r="D74" s="56" t="str">
        <f t="shared" si="166"/>
        <v>Plaza</v>
      </c>
      <c r="E74" s="56" t="str">
        <f t="shared" si="167"/>
        <v xml:space="preserve">sin </v>
      </c>
      <c r="F74" s="56" t="str">
        <f t="shared" si="168"/>
        <v>presupuesto</v>
      </c>
      <c r="G74" s="56">
        <v>1</v>
      </c>
      <c r="H74" s="56"/>
      <c r="I74" s="57" t="s">
        <v>8</v>
      </c>
      <c r="J74" s="57" t="s">
        <v>37</v>
      </c>
      <c r="K74" s="58"/>
      <c r="L74" s="58"/>
      <c r="M74" s="58"/>
      <c r="N74" s="59">
        <f>IF(H74&gt;0,MID(H74,9,2)&amp;"/"&amp;MID(H74,7,2)&amp;"/"&amp;MID(H74,5,2),0)</f>
        <v>0</v>
      </c>
      <c r="O74" s="58" t="str">
        <f t="shared" ca="1" si="169"/>
        <v>N/A</v>
      </c>
      <c r="P74" s="60"/>
      <c r="Q74" s="4">
        <f>IF(P74&gt;0,(DATEDIF(P74,$P$1,"y")&amp;" años, "&amp;DATEDIF(P74,$P$1,"YM")&amp;" meses, "&amp;DATEDIF(P74,$P$1,"md")&amp;" dias."),0)</f>
        <v>0</v>
      </c>
      <c r="R74" s="4">
        <f t="shared" si="170"/>
        <v>118</v>
      </c>
      <c r="S74" s="4">
        <f t="shared" si="171"/>
        <v>1427</v>
      </c>
      <c r="T74" s="4">
        <f t="shared" si="172"/>
        <v>43465</v>
      </c>
      <c r="U74" s="58" t="s">
        <v>3</v>
      </c>
      <c r="V74" s="58">
        <v>13</v>
      </c>
      <c r="W74" s="58" t="s">
        <v>16</v>
      </c>
      <c r="X74" s="58">
        <v>30</v>
      </c>
      <c r="Y74" s="58" t="s">
        <v>2</v>
      </c>
      <c r="Z74" s="58" t="s">
        <v>1</v>
      </c>
      <c r="AA74" s="61">
        <f>IF(C74="Plaza sin presupuesto",0,IF(W74="si",IF(X74=30,VLOOKUP(V74,'[1]Tablas despensa y pasaje 2018'!$A$3:$I$38,2,0),IF(PLANTILLA!X74=40,VLOOKUP(PLANTILLA!V74,'[1]Tablas despensa y pasaje 2018'!$A$3:$I$38,6,0))),IF(X74=30,VLOOKUP(V74,'[1]Tablas despensa y pasaje 2018'!$A$41:$I$48,2,0),IF(X74=40,VLOOKUP(V74,'[1]Tablas despensa y pasaje 2018'!$A$41:$I$48,6,0),0))))</f>
        <v>0</v>
      </c>
      <c r="AB74" s="61">
        <f>IF(C74="Plaza sin presupuesto",0,IF(W74="si",IF(X74=30,VLOOKUP(V74,'[1]Tablas despensa y pasaje 2018'!$A$3:$I$38,3,0),IF(PLANTILLA!X74=40,VLOOKUP(PLANTILLA!V74,'[1]Tablas despensa y pasaje 2018'!$A$3:$I$38,7,0))),IF(X74=30,VLOOKUP(V74,'[1]Tablas despensa y pasaje 2018'!$A$41:$I$48,3,0),IF(X74=40,VLOOKUP(V74,'[1]Tablas despensa y pasaje 2018'!$A$41:$I$48,7,0),0))))</f>
        <v>0</v>
      </c>
      <c r="AC74" s="61">
        <f>IF(C74="Plaza sin presupuesto",0,IF(W74="si",IF(X74=30,VLOOKUP(V74,'[1]Tablas despensa y pasaje 2018'!$A$3:$I$38,4,0),IF(PLANTILLA!X74=40,VLOOKUP(PLANTILLA!V74,'[1]Tablas despensa y pasaje 2018'!$A$3:$I$38,8,0))),IF(X74=30,VLOOKUP(V74,'[1]Tablas despensa y pasaje 2018'!$A$41:$I$48,4,0),IF(X74=40,VLOOKUP(V74,'[1]Tablas despensa y pasaje 2018'!$A$41:$I$48,8,0),0))))</f>
        <v>0</v>
      </c>
      <c r="AD74" s="61">
        <f t="shared" si="173"/>
        <v>0</v>
      </c>
      <c r="AE74" s="61">
        <f t="shared" si="174"/>
        <v>0</v>
      </c>
      <c r="AF74" s="61">
        <f>IF((DATEDIF(P74,$AE$1,"d"))&lt;365,((((DATEDIF(P74,$AE$1,"d"))*15)/365)*(AA74/30)),IF(AND(K74="SEIJAL",Y74="B"),((AA74+AB74+AC74+AD74+AE74)/30)*15,(AA74/30)*15))</f>
        <v>0</v>
      </c>
      <c r="AG74" s="61">
        <f t="shared" si="175"/>
        <v>0</v>
      </c>
      <c r="AH74" s="61">
        <f t="shared" si="176"/>
        <v>0</v>
      </c>
      <c r="AI74" s="61">
        <f t="shared" si="128"/>
        <v>0</v>
      </c>
      <c r="AJ74" s="61">
        <f t="shared" si="129"/>
        <v>0</v>
      </c>
      <c r="AK74" s="61">
        <f t="shared" si="130"/>
        <v>0</v>
      </c>
      <c r="AL74" s="61">
        <f t="shared" si="131"/>
        <v>0</v>
      </c>
      <c r="AM74" s="62">
        <f>IF((SUM(AA74:AE74)/2)=0,0,(((((SUM(AA74:AE74)/2)-(VLOOKUP((SUM(AA74:AE74)/2),'[1]Tablas ISR'!$A$4:$D$14,1,TRUE)))*(VLOOKUP((SUM(AA74:AE74)/2),'[1]Tablas ISR'!$A$4:$D$14,4,TRUE)))/100)+(VLOOKUP((SUM(AA74:AE74)/2),'[1]Tablas ISR'!$A$4:$D$14,3,TRUE)))*2)</f>
        <v>0</v>
      </c>
      <c r="AN74" s="63">
        <f t="shared" si="132"/>
        <v>0</v>
      </c>
      <c r="AO74" s="61">
        <f t="shared" si="133"/>
        <v>0</v>
      </c>
      <c r="AP74" s="61">
        <f t="shared" si="134"/>
        <v>0</v>
      </c>
      <c r="AQ74" s="61">
        <f t="shared" si="135"/>
        <v>0</v>
      </c>
      <c r="AR74" s="61">
        <f t="shared" si="136"/>
        <v>0</v>
      </c>
      <c r="AS74" s="61">
        <f t="shared" si="137"/>
        <v>0</v>
      </c>
      <c r="AT74" s="61">
        <f t="shared" si="138"/>
        <v>0</v>
      </c>
      <c r="AU74" s="61">
        <f t="shared" si="139"/>
        <v>0</v>
      </c>
      <c r="AV74" s="61">
        <f t="shared" si="140"/>
        <v>0</v>
      </c>
      <c r="AW74" s="64">
        <f t="shared" si="141"/>
        <v>0</v>
      </c>
      <c r="AX74" s="5">
        <f t="shared" si="142"/>
        <v>0</v>
      </c>
      <c r="AY74" s="5">
        <f t="shared" si="143"/>
        <v>0</v>
      </c>
      <c r="AZ74" s="5">
        <f t="shared" si="144"/>
        <v>0</v>
      </c>
      <c r="BA74" s="5">
        <f t="shared" si="145"/>
        <v>0</v>
      </c>
      <c r="BB74" s="5">
        <f t="shared" si="146"/>
        <v>0</v>
      </c>
      <c r="BC74" s="5">
        <f t="shared" si="147"/>
        <v>0</v>
      </c>
      <c r="BD74" s="5">
        <f t="shared" si="148"/>
        <v>0</v>
      </c>
      <c r="BE74" s="5">
        <f t="shared" si="149"/>
        <v>0</v>
      </c>
      <c r="BF74" s="5">
        <f t="shared" si="150"/>
        <v>0</v>
      </c>
      <c r="BG74" s="5">
        <f t="shared" si="151"/>
        <v>0</v>
      </c>
      <c r="BH74" s="5">
        <f t="shared" si="152"/>
        <v>0</v>
      </c>
      <c r="BI74" s="5">
        <f t="shared" si="153"/>
        <v>0</v>
      </c>
      <c r="BJ74" s="5">
        <f t="shared" si="154"/>
        <v>0</v>
      </c>
      <c r="BK74" s="5">
        <f t="shared" si="155"/>
        <v>0</v>
      </c>
      <c r="BL74" s="5">
        <f t="shared" si="156"/>
        <v>0</v>
      </c>
      <c r="BM74" s="5">
        <f t="shared" si="157"/>
        <v>0</v>
      </c>
      <c r="BN74" s="5">
        <f t="shared" si="158"/>
        <v>0</v>
      </c>
      <c r="BO74" s="5">
        <f t="shared" si="159"/>
        <v>0</v>
      </c>
      <c r="BP74" s="5">
        <f t="shared" si="160"/>
        <v>0</v>
      </c>
      <c r="BQ74" s="5">
        <f t="shared" si="161"/>
        <v>0</v>
      </c>
      <c r="BR74" s="5">
        <f t="shared" si="162"/>
        <v>0</v>
      </c>
      <c r="BS74" s="5">
        <f t="shared" si="163"/>
        <v>0</v>
      </c>
      <c r="BT74" s="5">
        <f t="shared" si="164"/>
        <v>0</v>
      </c>
      <c r="BU74" s="5">
        <f t="shared" si="165"/>
        <v>0</v>
      </c>
      <c r="BV74" s="65">
        <f t="shared" si="177"/>
        <v>0</v>
      </c>
      <c r="BW74" s="65">
        <f t="shared" si="178"/>
        <v>0</v>
      </c>
      <c r="BX74" s="65">
        <f t="shared" si="179"/>
        <v>0</v>
      </c>
      <c r="BY74" s="65">
        <f t="shared" si="180"/>
        <v>0</v>
      </c>
      <c r="BZ74" s="65">
        <f t="shared" si="181"/>
        <v>0</v>
      </c>
      <c r="CA74" s="65">
        <f t="shared" si="182"/>
        <v>0</v>
      </c>
      <c r="CB74" s="65">
        <f t="shared" si="183"/>
        <v>0</v>
      </c>
      <c r="CC74" s="65">
        <f t="shared" si="184"/>
        <v>0</v>
      </c>
      <c r="CD74" s="65">
        <f t="shared" si="185"/>
        <v>0</v>
      </c>
      <c r="CE74" s="65">
        <f t="shared" si="186"/>
        <v>0</v>
      </c>
      <c r="CF74" s="65">
        <f t="shared" si="187"/>
        <v>0</v>
      </c>
      <c r="CG74" s="65">
        <f t="shared" si="188"/>
        <v>0</v>
      </c>
      <c r="CH74" s="66">
        <f t="shared" si="189"/>
        <v>0</v>
      </c>
      <c r="CI74" s="67"/>
      <c r="CJ74" s="67"/>
      <c r="CK74" s="67"/>
      <c r="CL74" s="67"/>
      <c r="CM74" s="67"/>
      <c r="CN74" s="67"/>
      <c r="CO74" s="67"/>
      <c r="CP74" s="67"/>
    </row>
    <row r="75" spans="1:94" ht="27" customHeight="1" x14ac:dyDescent="0.2">
      <c r="A75" s="8">
        <v>71</v>
      </c>
      <c r="B75" s="8">
        <v>919</v>
      </c>
      <c r="C75" s="43" t="s">
        <v>44</v>
      </c>
      <c r="D75" s="44" t="str">
        <f t="shared" si="166"/>
        <v>Ibarraran</v>
      </c>
      <c r="E75" s="44" t="str">
        <f t="shared" si="167"/>
        <v xml:space="preserve">Arreola </v>
      </c>
      <c r="F75" s="44" t="str">
        <f t="shared" si="168"/>
        <v>Adriana Gabriela</v>
      </c>
      <c r="G75" s="8">
        <v>3</v>
      </c>
      <c r="H75" s="8" t="s">
        <v>43</v>
      </c>
      <c r="I75" s="45" t="s">
        <v>42</v>
      </c>
      <c r="J75" s="45" t="s">
        <v>37</v>
      </c>
      <c r="K75" s="46" t="s">
        <v>18</v>
      </c>
      <c r="L75" s="46" t="s">
        <v>17</v>
      </c>
      <c r="M75" s="46" t="s">
        <v>22</v>
      </c>
      <c r="N75" s="47" t="str">
        <f>IF(H75&gt;0,MID(H75,9,2)&amp;"/"&amp;MID(H75,7,2)&amp;"/"&amp;MID(H75,5,2),0)</f>
        <v>29/11/87</v>
      </c>
      <c r="O75" s="48">
        <f t="shared" ca="1" si="169"/>
        <v>30</v>
      </c>
      <c r="P75" s="1">
        <v>41410</v>
      </c>
      <c r="Q75" s="2" t="str">
        <f>IF(P75&gt;0,(DATEDIF(P75,$P$1,"y")&amp;" años, "&amp;DATEDIF(P75,$P$1,"YM")&amp;" meses, "&amp;DATEDIF(P75,$P$1,"md")&amp;" dias."),0)</f>
        <v>5 años, 7 meses, 15 dias.</v>
      </c>
      <c r="R75" s="2">
        <f t="shared" si="170"/>
        <v>5</v>
      </c>
      <c r="S75" s="2">
        <f t="shared" si="171"/>
        <v>67</v>
      </c>
      <c r="T75" s="2">
        <f t="shared" si="172"/>
        <v>2055</v>
      </c>
      <c r="U75" s="46" t="s">
        <v>3</v>
      </c>
      <c r="V75" s="46">
        <v>12</v>
      </c>
      <c r="W75" s="46" t="s">
        <v>1</v>
      </c>
      <c r="X75" s="46">
        <v>40</v>
      </c>
      <c r="Y75" s="46" t="s">
        <v>15</v>
      </c>
      <c r="Z75" s="46" t="s">
        <v>1</v>
      </c>
      <c r="AA75" s="49">
        <f>IF(C75="Plaza sin presupuesto",0,IF(W75="si",IF(X75=30,VLOOKUP(V75,'[1]Tablas despensa y pasaje 2018'!$A$3:$I$38,2,0),IF(PLANTILLA!X75=40,VLOOKUP(PLANTILLA!V75,'[1]Tablas despensa y pasaje 2018'!$A$3:$I$38,6,0))),IF(X75=30,VLOOKUP(V75,'[1]Tablas despensa y pasaje 2018'!$A$41:$I$48,2,0),IF(X75=40,VLOOKUP(V75,'[1]Tablas despensa y pasaje 2018'!$A$41:$I$48,6,0),0))))</f>
        <v>13698</v>
      </c>
      <c r="AB75" s="49">
        <f>IF(C75="Plaza sin presupuesto",0,IF(W75="si",IF(X75=30,VLOOKUP(V75,'[1]Tablas despensa y pasaje 2018'!$A$3:$I$38,3,0),IF(PLANTILLA!X75=40,VLOOKUP(PLANTILLA!V75,'[1]Tablas despensa y pasaje 2018'!$A$3:$I$38,7,0))),IF(X75=30,VLOOKUP(V75,'[1]Tablas despensa y pasaje 2018'!$A$41:$I$48,3,0),IF(X75=40,VLOOKUP(V75,'[1]Tablas despensa y pasaje 2018'!$A$41:$I$48,7,0),0))))</f>
        <v>1099</v>
      </c>
      <c r="AC75" s="49">
        <f>IF(C75="Plaza sin presupuesto",0,IF(W75="si",IF(X75=30,VLOOKUP(V75,'[1]Tablas despensa y pasaje 2018'!$A$3:$I$38,4,0),IF(PLANTILLA!X75=40,VLOOKUP(PLANTILLA!V75,'[1]Tablas despensa y pasaje 2018'!$A$3:$I$38,8,0))),IF(X75=30,VLOOKUP(V75,'[1]Tablas despensa y pasaje 2018'!$A$41:$I$48,4,0),IF(X75=40,VLOOKUP(V75,'[1]Tablas despensa y pasaje 2018'!$A$41:$I$48,8,0),0))))</f>
        <v>689</v>
      </c>
      <c r="AD75" s="49">
        <f t="shared" si="173"/>
        <v>0</v>
      </c>
      <c r="AE75" s="49">
        <f t="shared" si="174"/>
        <v>176.72</v>
      </c>
      <c r="AF75" s="49">
        <f>IF((DATEDIF(P75,$AE$1,"d"))&lt;365,((((DATEDIF(P75,$AE$1,"d"))*15)/365)*(AA75/30)),IF(AND(K75="SEIJAL",Y75="B"),((AA75+AB75+AC75+AD75+AE75)/30)*15,(AA75/30)*15))</f>
        <v>6849</v>
      </c>
      <c r="AG75" s="49">
        <f t="shared" si="175"/>
        <v>22830</v>
      </c>
      <c r="AH75" s="49">
        <f t="shared" si="176"/>
        <v>2283</v>
      </c>
      <c r="AI75" s="49">
        <f t="shared" si="128"/>
        <v>2397.1499999999996</v>
      </c>
      <c r="AJ75" s="49">
        <f t="shared" si="129"/>
        <v>410.94</v>
      </c>
      <c r="AK75" s="49">
        <f t="shared" si="130"/>
        <v>273.95999999999998</v>
      </c>
      <c r="AL75" s="49">
        <f t="shared" si="131"/>
        <v>657.50400000000002</v>
      </c>
      <c r="AM75" s="50">
        <f>IF((SUM(AA75:AE75)/2)=0,0,(((((SUM(AA75:AE75)/2)-(VLOOKUP((SUM(AA75:AE75)/2),'[1]Tablas ISR'!$A$4:$D$14,1,TRUE)))*(VLOOKUP((SUM(AA75:AE75)/2),'[1]Tablas ISR'!$A$4:$D$14,4,TRUE)))/100)+(VLOOKUP((SUM(AA75:AE75)/2),'[1]Tablas ISR'!$A$4:$D$14,3,TRUE)))*2)</f>
        <v>2069.2082399999999</v>
      </c>
      <c r="AN75" s="51">
        <f t="shared" si="132"/>
        <v>1575.27</v>
      </c>
      <c r="AO75" s="49">
        <f t="shared" si="133"/>
        <v>6849</v>
      </c>
      <c r="AP75" s="49">
        <f t="shared" si="134"/>
        <v>549.5</v>
      </c>
      <c r="AQ75" s="49">
        <f t="shared" si="135"/>
        <v>344.5</v>
      </c>
      <c r="AR75" s="49">
        <f t="shared" si="136"/>
        <v>0</v>
      </c>
      <c r="AS75" s="49">
        <f t="shared" si="137"/>
        <v>88.36</v>
      </c>
      <c r="AT75" s="49">
        <f t="shared" si="138"/>
        <v>1198.5749999999998</v>
      </c>
      <c r="AU75" s="49">
        <f t="shared" si="139"/>
        <v>205.47</v>
      </c>
      <c r="AV75" s="49">
        <f t="shared" si="140"/>
        <v>328.75200000000001</v>
      </c>
      <c r="AW75" s="52">
        <f t="shared" si="141"/>
        <v>6009.1208799999995</v>
      </c>
      <c r="AX75" s="3">
        <f t="shared" si="142"/>
        <v>456.6</v>
      </c>
      <c r="AY75" s="3">
        <f t="shared" si="143"/>
        <v>36.633333333333333</v>
      </c>
      <c r="AZ75" s="3">
        <f t="shared" si="144"/>
        <v>22.966666666666665</v>
      </c>
      <c r="BA75" s="3">
        <f t="shared" si="145"/>
        <v>0</v>
      </c>
      <c r="BB75" s="3">
        <f t="shared" si="146"/>
        <v>5.8906666666666663</v>
      </c>
      <c r="BC75" s="3">
        <f t="shared" si="147"/>
        <v>18.764383561643836</v>
      </c>
      <c r="BD75" s="3">
        <f t="shared" si="148"/>
        <v>62.547945205479451</v>
      </c>
      <c r="BE75" s="3">
        <f t="shared" si="149"/>
        <v>6.2547945205479456</v>
      </c>
      <c r="BF75" s="3">
        <f t="shared" si="150"/>
        <v>79.904999999999987</v>
      </c>
      <c r="BG75" s="3">
        <f t="shared" si="151"/>
        <v>13.698</v>
      </c>
      <c r="BH75" s="3">
        <f t="shared" si="152"/>
        <v>9.1319999999999997</v>
      </c>
      <c r="BI75" s="3">
        <f t="shared" si="153"/>
        <v>21.916800000000002</v>
      </c>
      <c r="BJ75" s="3">
        <f t="shared" si="154"/>
        <v>13698</v>
      </c>
      <c r="BK75" s="3">
        <f t="shared" si="155"/>
        <v>1099</v>
      </c>
      <c r="BL75" s="3">
        <f t="shared" si="156"/>
        <v>689</v>
      </c>
      <c r="BM75" s="3">
        <f t="shared" si="157"/>
        <v>0</v>
      </c>
      <c r="BN75" s="3">
        <f t="shared" si="158"/>
        <v>176.72</v>
      </c>
      <c r="BO75" s="3">
        <f t="shared" si="159"/>
        <v>570.75</v>
      </c>
      <c r="BP75" s="3">
        <f t="shared" si="160"/>
        <v>1902.5</v>
      </c>
      <c r="BQ75" s="3">
        <f t="shared" si="161"/>
        <v>190.25</v>
      </c>
      <c r="BR75" s="3">
        <f t="shared" si="162"/>
        <v>2397.1499999999996</v>
      </c>
      <c r="BS75" s="3">
        <f t="shared" si="163"/>
        <v>410.94</v>
      </c>
      <c r="BT75" s="3">
        <f t="shared" si="164"/>
        <v>273.95999999999998</v>
      </c>
      <c r="BU75" s="3">
        <f t="shared" si="165"/>
        <v>657.50400000000002</v>
      </c>
      <c r="BV75" s="53">
        <f t="shared" si="177"/>
        <v>164376</v>
      </c>
      <c r="BW75" s="53">
        <f t="shared" si="178"/>
        <v>13188</v>
      </c>
      <c r="BX75" s="53">
        <f t="shared" si="179"/>
        <v>8268</v>
      </c>
      <c r="BY75" s="53">
        <f t="shared" si="180"/>
        <v>0</v>
      </c>
      <c r="BZ75" s="53">
        <f t="shared" si="181"/>
        <v>2120.64</v>
      </c>
      <c r="CA75" s="53">
        <f t="shared" si="182"/>
        <v>6849</v>
      </c>
      <c r="CB75" s="53">
        <f t="shared" si="183"/>
        <v>22830</v>
      </c>
      <c r="CC75" s="53">
        <f t="shared" si="184"/>
        <v>2283</v>
      </c>
      <c r="CD75" s="53">
        <f t="shared" si="185"/>
        <v>28765.799999999996</v>
      </c>
      <c r="CE75" s="53">
        <f t="shared" si="186"/>
        <v>4931.28</v>
      </c>
      <c r="CF75" s="53">
        <f t="shared" si="187"/>
        <v>3287.5199999999995</v>
      </c>
      <c r="CG75" s="53">
        <f t="shared" si="188"/>
        <v>7890.0480000000007</v>
      </c>
      <c r="CH75" s="54">
        <f t="shared" si="189"/>
        <v>264789.288</v>
      </c>
      <c r="CI75" s="46"/>
      <c r="CJ75" s="46"/>
      <c r="CK75" s="46"/>
      <c r="CL75" s="46"/>
      <c r="CM75" s="46"/>
      <c r="CN75" s="46"/>
      <c r="CO75" s="46"/>
      <c r="CP75" s="46"/>
    </row>
    <row r="76" spans="1:94" ht="27" customHeight="1" x14ac:dyDescent="0.2">
      <c r="A76" s="8">
        <v>72</v>
      </c>
      <c r="B76" s="8">
        <v>990</v>
      </c>
      <c r="C76" s="43" t="s">
        <v>41</v>
      </c>
      <c r="D76" s="44" t="str">
        <f t="shared" si="166"/>
        <v>Quintero</v>
      </c>
      <c r="E76" s="44" t="str">
        <f t="shared" si="167"/>
        <v xml:space="preserve">Martinez </v>
      </c>
      <c r="F76" s="44" t="str">
        <f t="shared" si="168"/>
        <v>Iris Ariadna</v>
      </c>
      <c r="G76" s="8">
        <v>4</v>
      </c>
      <c r="H76" s="8" t="s">
        <v>40</v>
      </c>
      <c r="I76" s="45" t="s">
        <v>39</v>
      </c>
      <c r="J76" s="45" t="s">
        <v>37</v>
      </c>
      <c r="K76" s="46" t="s">
        <v>23</v>
      </c>
      <c r="L76" s="46" t="s">
        <v>17</v>
      </c>
      <c r="M76" s="46" t="s">
        <v>11</v>
      </c>
      <c r="N76" s="47" t="str">
        <f>IF(H76&gt;0,MID(H76,9,2)&amp;"/"&amp;MID(H76,7,2)&amp;"/"&amp;MID(H76,5,2),0)</f>
        <v>16/04/86</v>
      </c>
      <c r="O76" s="48">
        <f t="shared" ca="1" si="169"/>
        <v>31</v>
      </c>
      <c r="P76" s="1">
        <v>42011</v>
      </c>
      <c r="Q76" s="2" t="str">
        <f>IF(P76&gt;0,(DATEDIF(P76,$P$1,"y")&amp;" años, "&amp;DATEDIF(P76,$P$1,"YM")&amp;" meses, "&amp;DATEDIF(P76,$P$1,"md")&amp;" dias."),0)</f>
        <v>3 años, 11 meses, 24 dias.</v>
      </c>
      <c r="R76" s="2">
        <f t="shared" si="170"/>
        <v>3</v>
      </c>
      <c r="S76" s="2">
        <f t="shared" si="171"/>
        <v>47</v>
      </c>
      <c r="T76" s="2">
        <f t="shared" si="172"/>
        <v>1454</v>
      </c>
      <c r="U76" s="46" t="s">
        <v>3</v>
      </c>
      <c r="V76" s="46">
        <v>11</v>
      </c>
      <c r="W76" s="46" t="s">
        <v>1</v>
      </c>
      <c r="X76" s="46">
        <v>40</v>
      </c>
      <c r="Y76" s="46" t="s">
        <v>2</v>
      </c>
      <c r="Z76" s="46" t="s">
        <v>16</v>
      </c>
      <c r="AA76" s="49">
        <f>IF(C76="Plaza sin presupuesto",0,IF(W76="si",IF(X76=30,VLOOKUP(V76,'[1]Tablas despensa y pasaje 2018'!$A$3:$I$38,2,0),IF(PLANTILLA!X76=40,VLOOKUP(PLANTILLA!V76,'[1]Tablas despensa y pasaje 2018'!$A$3:$I$38,6,0))),IF(X76=30,VLOOKUP(V76,'[1]Tablas despensa y pasaje 2018'!$A$41:$I$48,2,0),IF(X76=40,VLOOKUP(V76,'[1]Tablas despensa y pasaje 2018'!$A$41:$I$48,6,0),0))))</f>
        <v>13633</v>
      </c>
      <c r="AB76" s="49">
        <f>IF(C76="Plaza sin presupuesto",0,IF(W76="si",IF(X76=30,VLOOKUP(V76,'[1]Tablas despensa y pasaje 2018'!$A$3:$I$38,3,0),IF(PLANTILLA!X76=40,VLOOKUP(PLANTILLA!V76,'[1]Tablas despensa y pasaje 2018'!$A$3:$I$38,7,0))),IF(X76=30,VLOOKUP(V76,'[1]Tablas despensa y pasaje 2018'!$A$41:$I$48,3,0),IF(X76=40,VLOOKUP(V76,'[1]Tablas despensa y pasaje 2018'!$A$41:$I$48,7,0),0))))</f>
        <v>1093</v>
      </c>
      <c r="AC76" s="49">
        <f>IF(C76="Plaza sin presupuesto",0,IF(W76="si",IF(X76=30,VLOOKUP(V76,'[1]Tablas despensa y pasaje 2018'!$A$3:$I$38,4,0),IF(PLANTILLA!X76=40,VLOOKUP(PLANTILLA!V76,'[1]Tablas despensa y pasaje 2018'!$A$3:$I$38,8,0))),IF(X76=30,VLOOKUP(V76,'[1]Tablas despensa y pasaje 2018'!$A$41:$I$48,4,0),IF(X76=40,VLOOKUP(V76,'[1]Tablas despensa y pasaje 2018'!$A$41:$I$48,8,0),0))))</f>
        <v>679</v>
      </c>
      <c r="AD76" s="49">
        <f t="shared" si="173"/>
        <v>0</v>
      </c>
      <c r="AE76" s="49">
        <f t="shared" si="174"/>
        <v>0</v>
      </c>
      <c r="AF76" s="49">
        <f>IF((DATEDIF(P76,$AE$1,"d"))&lt;365,((((DATEDIF(P76,$AE$1,"d"))*15)/365)*(AA76/30)),IF(AND(K76="SEIJAL",Y76="B"),((AA76+AB76+AC76+AD76+AE76)/30)*15,(AA76/30)*15))</f>
        <v>6816.5</v>
      </c>
      <c r="AG76" s="49">
        <f t="shared" si="175"/>
        <v>22721.666666666668</v>
      </c>
      <c r="AH76" s="49">
        <f t="shared" si="176"/>
        <v>2272.1666666666665</v>
      </c>
      <c r="AI76" s="49">
        <f t="shared" si="128"/>
        <v>2385.7749999999996</v>
      </c>
      <c r="AJ76" s="49">
        <f t="shared" si="129"/>
        <v>408.99</v>
      </c>
      <c r="AK76" s="49">
        <f t="shared" si="130"/>
        <v>272.66000000000003</v>
      </c>
      <c r="AL76" s="49">
        <f t="shared" si="131"/>
        <v>654.38400000000001</v>
      </c>
      <c r="AM76" s="50">
        <f>IF((SUM(AA76:AE76)/2)=0,0,(((((SUM(AA76:AE76)/2)-(VLOOKUP((SUM(AA76:AE76)/2),'[1]Tablas ISR'!$A$4:$D$14,1,TRUE)))*(VLOOKUP((SUM(AA76:AE76)/2),'[1]Tablas ISR'!$A$4:$D$14,4,TRUE)))/100)+(VLOOKUP((SUM(AA76:AE76)/2),'[1]Tablas ISR'!$A$4:$D$14,3,TRUE)))*2)</f>
        <v>2014.1592480000002</v>
      </c>
      <c r="AN76" s="51">
        <f t="shared" si="132"/>
        <v>1567.7950000000001</v>
      </c>
      <c r="AO76" s="49">
        <f t="shared" si="133"/>
        <v>6816.5</v>
      </c>
      <c r="AP76" s="49">
        <f t="shared" si="134"/>
        <v>546.5</v>
      </c>
      <c r="AQ76" s="49">
        <f t="shared" si="135"/>
        <v>339.5</v>
      </c>
      <c r="AR76" s="49">
        <f t="shared" si="136"/>
        <v>0</v>
      </c>
      <c r="AS76" s="49">
        <f t="shared" si="137"/>
        <v>0</v>
      </c>
      <c r="AT76" s="49">
        <f t="shared" si="138"/>
        <v>1192.8874999999998</v>
      </c>
      <c r="AU76" s="49">
        <f t="shared" si="139"/>
        <v>204.495</v>
      </c>
      <c r="AV76" s="49">
        <f t="shared" si="140"/>
        <v>327.19200000000001</v>
      </c>
      <c r="AW76" s="52">
        <f t="shared" si="141"/>
        <v>5911.522876</v>
      </c>
      <c r="AX76" s="3">
        <f t="shared" si="142"/>
        <v>454.43333333333334</v>
      </c>
      <c r="AY76" s="3">
        <f t="shared" si="143"/>
        <v>36.43333333333333</v>
      </c>
      <c r="AZ76" s="3">
        <f t="shared" si="144"/>
        <v>22.633333333333333</v>
      </c>
      <c r="BA76" s="3">
        <f t="shared" si="145"/>
        <v>0</v>
      </c>
      <c r="BB76" s="3">
        <f t="shared" si="146"/>
        <v>0</v>
      </c>
      <c r="BC76" s="3">
        <f t="shared" si="147"/>
        <v>18.675342465753424</v>
      </c>
      <c r="BD76" s="3">
        <f t="shared" si="148"/>
        <v>62.25114155251142</v>
      </c>
      <c r="BE76" s="3">
        <f t="shared" si="149"/>
        <v>6.2251141552511413</v>
      </c>
      <c r="BF76" s="3">
        <f t="shared" si="150"/>
        <v>79.525833333333324</v>
      </c>
      <c r="BG76" s="3">
        <f t="shared" si="151"/>
        <v>13.633000000000001</v>
      </c>
      <c r="BH76" s="3">
        <f t="shared" si="152"/>
        <v>9.0886666666666667</v>
      </c>
      <c r="BI76" s="3">
        <f t="shared" si="153"/>
        <v>21.812799999999999</v>
      </c>
      <c r="BJ76" s="3">
        <f t="shared" si="154"/>
        <v>13633</v>
      </c>
      <c r="BK76" s="3">
        <f t="shared" si="155"/>
        <v>1093</v>
      </c>
      <c r="BL76" s="3">
        <f t="shared" si="156"/>
        <v>679</v>
      </c>
      <c r="BM76" s="3">
        <f t="shared" si="157"/>
        <v>0</v>
      </c>
      <c r="BN76" s="3">
        <f t="shared" si="158"/>
        <v>0</v>
      </c>
      <c r="BO76" s="3">
        <f t="shared" si="159"/>
        <v>568.04166666666663</v>
      </c>
      <c r="BP76" s="3">
        <f t="shared" si="160"/>
        <v>1893.4722222222224</v>
      </c>
      <c r="BQ76" s="3">
        <f t="shared" si="161"/>
        <v>189.3472222222222</v>
      </c>
      <c r="BR76" s="3">
        <f t="shared" si="162"/>
        <v>2385.7749999999996</v>
      </c>
      <c r="BS76" s="3">
        <f t="shared" si="163"/>
        <v>408.99</v>
      </c>
      <c r="BT76" s="3">
        <f t="shared" si="164"/>
        <v>272.66000000000003</v>
      </c>
      <c r="BU76" s="3">
        <f t="shared" si="165"/>
        <v>654.38400000000001</v>
      </c>
      <c r="BV76" s="53">
        <f t="shared" si="177"/>
        <v>163596</v>
      </c>
      <c r="BW76" s="53">
        <f t="shared" si="178"/>
        <v>13116</v>
      </c>
      <c r="BX76" s="53">
        <f t="shared" si="179"/>
        <v>8148</v>
      </c>
      <c r="BY76" s="53">
        <f t="shared" si="180"/>
        <v>0</v>
      </c>
      <c r="BZ76" s="53">
        <f t="shared" si="181"/>
        <v>0</v>
      </c>
      <c r="CA76" s="53">
        <f t="shared" si="182"/>
        <v>6816.5</v>
      </c>
      <c r="CB76" s="53">
        <f t="shared" si="183"/>
        <v>22721.666666666668</v>
      </c>
      <c r="CC76" s="53">
        <f t="shared" si="184"/>
        <v>2272.1666666666665</v>
      </c>
      <c r="CD76" s="53">
        <f t="shared" si="185"/>
        <v>28629.299999999996</v>
      </c>
      <c r="CE76" s="53">
        <f t="shared" si="186"/>
        <v>4907.88</v>
      </c>
      <c r="CF76" s="53">
        <f t="shared" si="187"/>
        <v>3271.92</v>
      </c>
      <c r="CG76" s="53">
        <f t="shared" si="188"/>
        <v>7852.6080000000002</v>
      </c>
      <c r="CH76" s="54">
        <f t="shared" si="189"/>
        <v>261332.04133333333</v>
      </c>
      <c r="CI76" s="46"/>
      <c r="CJ76" s="46"/>
      <c r="CK76" s="46"/>
      <c r="CL76" s="46"/>
      <c r="CM76" s="46"/>
      <c r="CN76" s="46"/>
      <c r="CO76" s="46"/>
      <c r="CP76" s="46"/>
    </row>
    <row r="77" spans="1:94" s="68" customFormat="1" ht="27" customHeight="1" x14ac:dyDescent="0.2">
      <c r="A77" s="56">
        <v>73</v>
      </c>
      <c r="B77" s="56">
        <v>941</v>
      </c>
      <c r="C77" s="56" t="s">
        <v>38</v>
      </c>
      <c r="D77" s="56" t="str">
        <f t="shared" si="166"/>
        <v>Plaza</v>
      </c>
      <c r="E77" s="56" t="str">
        <f t="shared" si="167"/>
        <v xml:space="preserve">sin </v>
      </c>
      <c r="F77" s="56" t="str">
        <f t="shared" si="168"/>
        <v>presupuesto</v>
      </c>
      <c r="G77" s="56">
        <v>4</v>
      </c>
      <c r="H77" s="56"/>
      <c r="I77" s="57" t="s">
        <v>8</v>
      </c>
      <c r="J77" s="57" t="s">
        <v>37</v>
      </c>
      <c r="K77" s="58"/>
      <c r="L77" s="58"/>
      <c r="M77" s="58"/>
      <c r="N77" s="59">
        <f>IF(H77&gt;0,MID(H77,9,2)&amp;"/"&amp;MID(H77,7,2)&amp;"/"&amp;MID(H77,5,2),0)</f>
        <v>0</v>
      </c>
      <c r="O77" s="58" t="str">
        <f t="shared" ca="1" si="169"/>
        <v>N/A</v>
      </c>
      <c r="P77" s="60"/>
      <c r="Q77" s="4">
        <f>IF(P77&gt;0,(DATEDIF(P77,$P$1,"y")&amp;" años, "&amp;DATEDIF(P77,$P$1,"YM")&amp;" meses, "&amp;DATEDIF(P77,$P$1,"md")&amp;" dias."),0)</f>
        <v>0</v>
      </c>
      <c r="R77" s="4">
        <f t="shared" si="170"/>
        <v>118</v>
      </c>
      <c r="S77" s="4">
        <f t="shared" si="171"/>
        <v>1427</v>
      </c>
      <c r="T77" s="4">
        <f t="shared" si="172"/>
        <v>43465</v>
      </c>
      <c r="U77" s="58" t="s">
        <v>3</v>
      </c>
      <c r="V77" s="58">
        <v>13</v>
      </c>
      <c r="W77" s="58" t="s">
        <v>16</v>
      </c>
      <c r="X77" s="58">
        <v>30</v>
      </c>
      <c r="Y77" s="58" t="s">
        <v>2</v>
      </c>
      <c r="Z77" s="58" t="s">
        <v>1</v>
      </c>
      <c r="AA77" s="61">
        <f>IF(C77="Plaza sin presupuesto",0,IF(W77="si",IF(X77=30,VLOOKUP(V77,'[1]Tablas despensa y pasaje 2018'!$A$3:$I$38,2,0),IF(PLANTILLA!X77=40,VLOOKUP(PLANTILLA!V77,'[1]Tablas despensa y pasaje 2018'!$A$3:$I$38,6,0))),IF(X77=30,VLOOKUP(V77,'[1]Tablas despensa y pasaje 2018'!$A$41:$I$48,2,0),IF(X77=40,VLOOKUP(V77,'[1]Tablas despensa y pasaje 2018'!$A$41:$I$48,6,0),0))))</f>
        <v>0</v>
      </c>
      <c r="AB77" s="61">
        <f>IF(C77="Plaza sin presupuesto",0,IF(W77="si",IF(X77=30,VLOOKUP(V77,'[1]Tablas despensa y pasaje 2018'!$A$3:$I$38,3,0),IF(PLANTILLA!X77=40,VLOOKUP(PLANTILLA!V77,'[1]Tablas despensa y pasaje 2018'!$A$3:$I$38,7,0))),IF(X77=30,VLOOKUP(V77,'[1]Tablas despensa y pasaje 2018'!$A$41:$I$48,3,0),IF(X77=40,VLOOKUP(V77,'[1]Tablas despensa y pasaje 2018'!$A$41:$I$48,7,0),0))))</f>
        <v>0</v>
      </c>
      <c r="AC77" s="61">
        <f>IF(C77="Plaza sin presupuesto",0,IF(W77="si",IF(X77=30,VLOOKUP(V77,'[1]Tablas despensa y pasaje 2018'!$A$3:$I$38,4,0),IF(PLANTILLA!X77=40,VLOOKUP(PLANTILLA!V77,'[1]Tablas despensa y pasaje 2018'!$A$3:$I$38,8,0))),IF(X77=30,VLOOKUP(V77,'[1]Tablas despensa y pasaje 2018'!$A$41:$I$48,4,0),IF(X77=40,VLOOKUP(V77,'[1]Tablas despensa y pasaje 2018'!$A$41:$I$48,8,0),0))))</f>
        <v>0</v>
      </c>
      <c r="AD77" s="61">
        <f t="shared" si="173"/>
        <v>0</v>
      </c>
      <c r="AE77" s="61">
        <f t="shared" si="174"/>
        <v>0</v>
      </c>
      <c r="AF77" s="61">
        <f>IF((DATEDIF(P77,$AE$1,"d"))&lt;365,((((DATEDIF(P77,$AE$1,"d"))*15)/365)*(AA77/30)),IF(AND(K77="SEIJAL",Y77="B"),((AA77+AB77+AC77+AD77+AE77)/30)*15,(AA77/30)*15))</f>
        <v>0</v>
      </c>
      <c r="AG77" s="61">
        <f t="shared" si="175"/>
        <v>0</v>
      </c>
      <c r="AH77" s="61">
        <f t="shared" si="176"/>
        <v>0</v>
      </c>
      <c r="AI77" s="61">
        <f t="shared" si="128"/>
        <v>0</v>
      </c>
      <c r="AJ77" s="61">
        <f t="shared" si="129"/>
        <v>0</v>
      </c>
      <c r="AK77" s="61">
        <f t="shared" si="130"/>
        <v>0</v>
      </c>
      <c r="AL77" s="61">
        <f t="shared" si="131"/>
        <v>0</v>
      </c>
      <c r="AM77" s="62">
        <f>IF((SUM(AA77:AE77)/2)=0,0,(((((SUM(AA77:AE77)/2)-(VLOOKUP((SUM(AA77:AE77)/2),'[1]Tablas ISR'!$A$4:$D$14,1,TRUE)))*(VLOOKUP((SUM(AA77:AE77)/2),'[1]Tablas ISR'!$A$4:$D$14,4,TRUE)))/100)+(VLOOKUP((SUM(AA77:AE77)/2),'[1]Tablas ISR'!$A$4:$D$14,3,TRUE)))*2)</f>
        <v>0</v>
      </c>
      <c r="AN77" s="63">
        <f t="shared" si="132"/>
        <v>0</v>
      </c>
      <c r="AO77" s="61">
        <f t="shared" si="133"/>
        <v>0</v>
      </c>
      <c r="AP77" s="61">
        <f t="shared" si="134"/>
        <v>0</v>
      </c>
      <c r="AQ77" s="61">
        <f t="shared" si="135"/>
        <v>0</v>
      </c>
      <c r="AR77" s="61">
        <f t="shared" si="136"/>
        <v>0</v>
      </c>
      <c r="AS77" s="61">
        <f t="shared" si="137"/>
        <v>0</v>
      </c>
      <c r="AT77" s="61">
        <f t="shared" si="138"/>
        <v>0</v>
      </c>
      <c r="AU77" s="61">
        <f t="shared" si="139"/>
        <v>0</v>
      </c>
      <c r="AV77" s="61">
        <f t="shared" si="140"/>
        <v>0</v>
      </c>
      <c r="AW77" s="64">
        <f t="shared" si="141"/>
        <v>0</v>
      </c>
      <c r="AX77" s="5">
        <f t="shared" si="142"/>
        <v>0</v>
      </c>
      <c r="AY77" s="5">
        <f t="shared" si="143"/>
        <v>0</v>
      </c>
      <c r="AZ77" s="5">
        <f t="shared" si="144"/>
        <v>0</v>
      </c>
      <c r="BA77" s="5">
        <f t="shared" si="145"/>
        <v>0</v>
      </c>
      <c r="BB77" s="5">
        <f t="shared" si="146"/>
        <v>0</v>
      </c>
      <c r="BC77" s="5">
        <f t="shared" si="147"/>
        <v>0</v>
      </c>
      <c r="BD77" s="5">
        <f t="shared" si="148"/>
        <v>0</v>
      </c>
      <c r="BE77" s="5">
        <f t="shared" si="149"/>
        <v>0</v>
      </c>
      <c r="BF77" s="5">
        <f t="shared" si="150"/>
        <v>0</v>
      </c>
      <c r="BG77" s="5">
        <f t="shared" si="151"/>
        <v>0</v>
      </c>
      <c r="BH77" s="5">
        <f t="shared" si="152"/>
        <v>0</v>
      </c>
      <c r="BI77" s="5">
        <f t="shared" si="153"/>
        <v>0</v>
      </c>
      <c r="BJ77" s="5">
        <f t="shared" si="154"/>
        <v>0</v>
      </c>
      <c r="BK77" s="5">
        <f t="shared" si="155"/>
        <v>0</v>
      </c>
      <c r="BL77" s="5">
        <f t="shared" si="156"/>
        <v>0</v>
      </c>
      <c r="BM77" s="5">
        <f t="shared" si="157"/>
        <v>0</v>
      </c>
      <c r="BN77" s="5">
        <f t="shared" si="158"/>
        <v>0</v>
      </c>
      <c r="BO77" s="5">
        <f t="shared" si="159"/>
        <v>0</v>
      </c>
      <c r="BP77" s="5">
        <f t="shared" si="160"/>
        <v>0</v>
      </c>
      <c r="BQ77" s="5">
        <f t="shared" si="161"/>
        <v>0</v>
      </c>
      <c r="BR77" s="5">
        <f t="shared" si="162"/>
        <v>0</v>
      </c>
      <c r="BS77" s="5">
        <f t="shared" si="163"/>
        <v>0</v>
      </c>
      <c r="BT77" s="5">
        <f t="shared" si="164"/>
        <v>0</v>
      </c>
      <c r="BU77" s="5">
        <f t="shared" si="165"/>
        <v>0</v>
      </c>
      <c r="BV77" s="65">
        <f t="shared" si="177"/>
        <v>0</v>
      </c>
      <c r="BW77" s="65">
        <f t="shared" si="178"/>
        <v>0</v>
      </c>
      <c r="BX77" s="65">
        <f t="shared" si="179"/>
        <v>0</v>
      </c>
      <c r="BY77" s="65">
        <f t="shared" si="180"/>
        <v>0</v>
      </c>
      <c r="BZ77" s="65">
        <f t="shared" si="181"/>
        <v>0</v>
      </c>
      <c r="CA77" s="65">
        <f t="shared" si="182"/>
        <v>0</v>
      </c>
      <c r="CB77" s="65">
        <f t="shared" si="183"/>
        <v>0</v>
      </c>
      <c r="CC77" s="65">
        <f t="shared" si="184"/>
        <v>0</v>
      </c>
      <c r="CD77" s="65">
        <f t="shared" si="185"/>
        <v>0</v>
      </c>
      <c r="CE77" s="65">
        <f t="shared" si="186"/>
        <v>0</v>
      </c>
      <c r="CF77" s="65">
        <f t="shared" si="187"/>
        <v>0</v>
      </c>
      <c r="CG77" s="65">
        <f t="shared" si="188"/>
        <v>0</v>
      </c>
      <c r="CH77" s="66">
        <f t="shared" si="189"/>
        <v>0</v>
      </c>
      <c r="CI77" s="67"/>
      <c r="CJ77" s="67"/>
      <c r="CK77" s="67"/>
      <c r="CL77" s="67"/>
      <c r="CM77" s="67"/>
      <c r="CN77" s="67"/>
      <c r="CO77" s="67"/>
      <c r="CP77" s="67"/>
    </row>
    <row r="78" spans="1:94" ht="27" customHeight="1" x14ac:dyDescent="0.2">
      <c r="A78" s="8">
        <v>74</v>
      </c>
      <c r="B78" s="8">
        <v>1005</v>
      </c>
      <c r="C78" s="43" t="s">
        <v>36</v>
      </c>
      <c r="D78" s="44" t="str">
        <f t="shared" si="166"/>
        <v>Sanchez</v>
      </c>
      <c r="E78" s="44" t="str">
        <f t="shared" si="167"/>
        <v xml:space="preserve">Torres </v>
      </c>
      <c r="F78" s="44" t="str">
        <f t="shared" si="168"/>
        <v>Alejandro Salvador</v>
      </c>
      <c r="G78" s="8">
        <v>1</v>
      </c>
      <c r="H78" s="8" t="s">
        <v>35</v>
      </c>
      <c r="I78" s="45" t="s">
        <v>34</v>
      </c>
      <c r="J78" s="45" t="s">
        <v>7</v>
      </c>
      <c r="K78" s="46" t="s">
        <v>23</v>
      </c>
      <c r="L78" s="46" t="s">
        <v>5</v>
      </c>
      <c r="M78" s="46" t="s">
        <v>11</v>
      </c>
      <c r="N78" s="47" t="str">
        <f>IF(H78&gt;0,MID(H78,9,2)&amp;"/"&amp;MID(H78,7,2)&amp;"/"&amp;MID(H78,5,2),0)</f>
        <v>31/10/73</v>
      </c>
      <c r="O78" s="48">
        <f t="shared" ca="1" si="169"/>
        <v>44</v>
      </c>
      <c r="P78" s="1">
        <v>41671</v>
      </c>
      <c r="Q78" s="2" t="str">
        <f>IF(P78&gt;0,(DATEDIF(P78,$P$1,"y")&amp;" años, "&amp;DATEDIF(P78,$P$1,"YM")&amp;" meses, "&amp;DATEDIF(P78,$P$1,"md")&amp;" dias."),0)</f>
        <v>4 años, 10 meses, 30 dias.</v>
      </c>
      <c r="R78" s="2">
        <f t="shared" si="170"/>
        <v>4</v>
      </c>
      <c r="S78" s="2">
        <f t="shared" si="171"/>
        <v>58</v>
      </c>
      <c r="T78" s="2">
        <f t="shared" si="172"/>
        <v>1794</v>
      </c>
      <c r="U78" s="46" t="s">
        <v>3</v>
      </c>
      <c r="V78" s="46">
        <v>23</v>
      </c>
      <c r="W78" s="46" t="s">
        <v>16</v>
      </c>
      <c r="X78" s="46">
        <v>40</v>
      </c>
      <c r="Y78" s="46" t="s">
        <v>15</v>
      </c>
      <c r="Z78" s="46" t="s">
        <v>1</v>
      </c>
      <c r="AA78" s="49">
        <f>IF(C78="Plaza sin presupuesto",0,IF(W78="si",IF(X78=30,VLOOKUP(V78,'[1]Tablas despensa y pasaje 2018'!$A$3:$I$38,2,0),IF(PLANTILLA!X78=40,VLOOKUP(PLANTILLA!V78,'[1]Tablas despensa y pasaje 2018'!$A$3:$I$38,6,0))),IF(X78=30,VLOOKUP(V78,'[1]Tablas despensa y pasaje 2018'!$A$41:$I$48,2,0),IF(X78=40,VLOOKUP(V78,'[1]Tablas despensa y pasaje 2018'!$A$41:$I$48,6,0),0))))</f>
        <v>38208</v>
      </c>
      <c r="AB78" s="49">
        <f>IF(C78="Plaza sin presupuesto",0,IF(W78="si",IF(X78=30,VLOOKUP(V78,'[1]Tablas despensa y pasaje 2018'!$A$3:$I$38,3,0),IF(PLANTILLA!X78=40,VLOOKUP(PLANTILLA!V78,'[1]Tablas despensa y pasaje 2018'!$A$3:$I$38,7,0))),IF(X78=30,VLOOKUP(V78,'[1]Tablas despensa y pasaje 2018'!$A$41:$I$48,3,0),IF(X78=40,VLOOKUP(V78,'[1]Tablas despensa y pasaje 2018'!$A$41:$I$48,7,0),0))))</f>
        <v>1808</v>
      </c>
      <c r="AC78" s="49">
        <f>IF(C78="Plaza sin presupuesto",0,IF(W78="si",IF(X78=30,VLOOKUP(V78,'[1]Tablas despensa y pasaje 2018'!$A$3:$I$38,4,0),IF(PLANTILLA!X78=40,VLOOKUP(PLANTILLA!V78,'[1]Tablas despensa y pasaje 2018'!$A$3:$I$38,8,0))),IF(X78=30,VLOOKUP(V78,'[1]Tablas despensa y pasaje 2018'!$A$41:$I$48,4,0),IF(X78=40,VLOOKUP(V78,'[1]Tablas despensa y pasaje 2018'!$A$41:$I$48,8,0),0))))</f>
        <v>1299</v>
      </c>
      <c r="AD78" s="49">
        <f t="shared" si="173"/>
        <v>0</v>
      </c>
      <c r="AE78" s="49">
        <f t="shared" si="174"/>
        <v>0</v>
      </c>
      <c r="AF78" s="49">
        <f>IF((DATEDIF(P78,$AE$1,"d"))&lt;365,((((DATEDIF(P78,$AE$1,"d"))*15)/365)*(AA78/30)),IF(AND(K78="SEIJAL",Y78="B"),((AA78+AB78+AC78+AD78+AE78)/30)*15,(AA78/30)*15))</f>
        <v>19104</v>
      </c>
      <c r="AG78" s="49">
        <f t="shared" si="175"/>
        <v>63679.999999999993</v>
      </c>
      <c r="AH78" s="49">
        <f t="shared" si="176"/>
        <v>6368</v>
      </c>
      <c r="AI78" s="49">
        <f t="shared" si="128"/>
        <v>6686.4</v>
      </c>
      <c r="AJ78" s="49">
        <f t="shared" si="129"/>
        <v>1146.24</v>
      </c>
      <c r="AK78" s="49">
        <f t="shared" si="130"/>
        <v>764.16</v>
      </c>
      <c r="AL78" s="49">
        <f t="shared" si="131"/>
        <v>1833.9840000000002</v>
      </c>
      <c r="AM78" s="50">
        <f>IF((SUM(AA78:AE78)/2)=0,0,(((((SUM(AA78:AE78)/2)-(VLOOKUP((SUM(AA78:AE78)/2),'[1]Tablas ISR'!$A$4:$D$14,1,TRUE)))*(VLOOKUP((SUM(AA78:AE78)/2),'[1]Tablas ISR'!$A$4:$D$14,4,TRUE)))/100)+(VLOOKUP((SUM(AA78:AE78)/2),'[1]Tablas ISR'!$A$4:$D$14,3,TRUE)))*2)</f>
        <v>8160.4440000000013</v>
      </c>
      <c r="AN78" s="51">
        <f t="shared" si="132"/>
        <v>4393.92</v>
      </c>
      <c r="AO78" s="49">
        <f t="shared" si="133"/>
        <v>19104</v>
      </c>
      <c r="AP78" s="49">
        <f t="shared" si="134"/>
        <v>904</v>
      </c>
      <c r="AQ78" s="49">
        <f t="shared" si="135"/>
        <v>649.5</v>
      </c>
      <c r="AR78" s="49">
        <f t="shared" si="136"/>
        <v>0</v>
      </c>
      <c r="AS78" s="49">
        <f t="shared" si="137"/>
        <v>0</v>
      </c>
      <c r="AT78" s="49">
        <f t="shared" si="138"/>
        <v>3343.2</v>
      </c>
      <c r="AU78" s="49">
        <f t="shared" si="139"/>
        <v>573.12</v>
      </c>
      <c r="AV78" s="49">
        <f t="shared" si="140"/>
        <v>916.99200000000008</v>
      </c>
      <c r="AW78" s="52">
        <f t="shared" si="141"/>
        <v>14380.317999999999</v>
      </c>
      <c r="AX78" s="3">
        <f t="shared" si="142"/>
        <v>1273.5999999999999</v>
      </c>
      <c r="AY78" s="3">
        <f t="shared" si="143"/>
        <v>60.266666666666666</v>
      </c>
      <c r="AZ78" s="3">
        <f t="shared" si="144"/>
        <v>43.3</v>
      </c>
      <c r="BA78" s="3">
        <f t="shared" si="145"/>
        <v>0</v>
      </c>
      <c r="BB78" s="3">
        <f t="shared" si="146"/>
        <v>0</v>
      </c>
      <c r="BC78" s="3">
        <f t="shared" si="147"/>
        <v>52.339726027397262</v>
      </c>
      <c r="BD78" s="3">
        <f t="shared" si="148"/>
        <v>174.46575342465752</v>
      </c>
      <c r="BE78" s="3">
        <f t="shared" si="149"/>
        <v>17.446575342465753</v>
      </c>
      <c r="BF78" s="3">
        <f t="shared" si="150"/>
        <v>222.88</v>
      </c>
      <c r="BG78" s="3">
        <f t="shared" si="151"/>
        <v>38.207999999999998</v>
      </c>
      <c r="BH78" s="3">
        <f t="shared" si="152"/>
        <v>25.471999999999998</v>
      </c>
      <c r="BI78" s="3">
        <f t="shared" si="153"/>
        <v>61.132800000000003</v>
      </c>
      <c r="BJ78" s="3">
        <f t="shared" si="154"/>
        <v>38208</v>
      </c>
      <c r="BK78" s="3">
        <f t="shared" si="155"/>
        <v>1808</v>
      </c>
      <c r="BL78" s="3">
        <f t="shared" si="156"/>
        <v>1299</v>
      </c>
      <c r="BM78" s="3">
        <f t="shared" si="157"/>
        <v>0</v>
      </c>
      <c r="BN78" s="3">
        <f t="shared" si="158"/>
        <v>0</v>
      </c>
      <c r="BO78" s="3">
        <f t="shared" si="159"/>
        <v>1592</v>
      </c>
      <c r="BP78" s="3">
        <f t="shared" si="160"/>
        <v>5306.6666666666661</v>
      </c>
      <c r="BQ78" s="3">
        <f t="shared" si="161"/>
        <v>530.66666666666663</v>
      </c>
      <c r="BR78" s="3">
        <f t="shared" si="162"/>
        <v>6686.4</v>
      </c>
      <c r="BS78" s="3">
        <f t="shared" si="163"/>
        <v>1146.24</v>
      </c>
      <c r="BT78" s="3">
        <f t="shared" si="164"/>
        <v>764.16</v>
      </c>
      <c r="BU78" s="3">
        <f t="shared" si="165"/>
        <v>1833.9840000000002</v>
      </c>
      <c r="BV78" s="53">
        <f t="shared" si="177"/>
        <v>458496</v>
      </c>
      <c r="BW78" s="53">
        <f t="shared" si="178"/>
        <v>21696</v>
      </c>
      <c r="BX78" s="53">
        <f t="shared" si="179"/>
        <v>15588</v>
      </c>
      <c r="BY78" s="53">
        <f t="shared" si="180"/>
        <v>0</v>
      </c>
      <c r="BZ78" s="53">
        <f t="shared" si="181"/>
        <v>0</v>
      </c>
      <c r="CA78" s="53">
        <f t="shared" si="182"/>
        <v>19104</v>
      </c>
      <c r="CB78" s="53">
        <f t="shared" si="183"/>
        <v>63679.999999999993</v>
      </c>
      <c r="CC78" s="53">
        <f t="shared" si="184"/>
        <v>6368</v>
      </c>
      <c r="CD78" s="53">
        <f t="shared" si="185"/>
        <v>80236.799999999988</v>
      </c>
      <c r="CE78" s="53">
        <f t="shared" si="186"/>
        <v>13754.880000000001</v>
      </c>
      <c r="CF78" s="53">
        <f t="shared" si="187"/>
        <v>9169.92</v>
      </c>
      <c r="CG78" s="53">
        <f t="shared" si="188"/>
        <v>22007.808000000001</v>
      </c>
      <c r="CH78" s="54">
        <f t="shared" si="189"/>
        <v>710101.40800000005</v>
      </c>
      <c r="CI78" s="46"/>
      <c r="CJ78" s="46"/>
      <c r="CK78" s="46"/>
      <c r="CL78" s="46"/>
      <c r="CM78" s="46"/>
      <c r="CN78" s="46"/>
      <c r="CO78" s="46"/>
      <c r="CP78" s="46"/>
    </row>
    <row r="79" spans="1:94" ht="27" customHeight="1" x14ac:dyDescent="0.2">
      <c r="A79" s="8">
        <v>75</v>
      </c>
      <c r="B79" s="8">
        <v>1092</v>
      </c>
      <c r="C79" s="43" t="s">
        <v>33</v>
      </c>
      <c r="D79" s="44" t="str">
        <f t="shared" si="166"/>
        <v>Guevara</v>
      </c>
      <c r="E79" s="44" t="str">
        <f t="shared" si="167"/>
        <v xml:space="preserve">Rubio </v>
      </c>
      <c r="F79" s="44" t="str">
        <f t="shared" si="168"/>
        <v>Montserrat</v>
      </c>
      <c r="G79" s="8">
        <v>3</v>
      </c>
      <c r="H79" s="8" t="s">
        <v>32</v>
      </c>
      <c r="I79" s="45" t="s">
        <v>31</v>
      </c>
      <c r="J79" s="45" t="s">
        <v>7</v>
      </c>
      <c r="K79" s="46" t="s">
        <v>23</v>
      </c>
      <c r="L79" s="46" t="s">
        <v>17</v>
      </c>
      <c r="M79" s="46" t="s">
        <v>30</v>
      </c>
      <c r="N79" s="47" t="str">
        <f>IF(H79&gt;0,MID(H79,9,2)&amp;"/"&amp;MID(H79,7,2)&amp;"/"&amp;MID(H79,5,2),0)</f>
        <v>12/05/73</v>
      </c>
      <c r="O79" s="48">
        <f t="shared" ca="1" si="169"/>
        <v>44</v>
      </c>
      <c r="P79" s="7">
        <v>38579</v>
      </c>
      <c r="Q79" s="2" t="str">
        <f>IF(P79&gt;0,(DATEDIF(P79,$P$1,"y")&amp;" años, "&amp;DATEDIF(P79,$P$1,"YM")&amp;" meses, "&amp;DATEDIF(P79,$P$1,"md")&amp;" dias."),0)</f>
        <v>13 años, 4 meses, 16 dias.</v>
      </c>
      <c r="R79" s="2">
        <f t="shared" si="170"/>
        <v>13</v>
      </c>
      <c r="S79" s="2">
        <f t="shared" si="171"/>
        <v>160</v>
      </c>
      <c r="T79" s="2">
        <f t="shared" si="172"/>
        <v>4886</v>
      </c>
      <c r="U79" s="46" t="s">
        <v>3</v>
      </c>
      <c r="V79" s="46">
        <v>21</v>
      </c>
      <c r="W79" s="46" t="s">
        <v>16</v>
      </c>
      <c r="X79" s="46">
        <v>40</v>
      </c>
      <c r="Y79" s="46" t="s">
        <v>15</v>
      </c>
      <c r="Z79" s="46" t="s">
        <v>1</v>
      </c>
      <c r="AA79" s="49">
        <f>IF(C79="Plaza sin presupuesto",0,IF(W79="si",IF(X79=30,VLOOKUP(V79,'[1]Tablas despensa y pasaje 2018'!$A$3:$I$38,2,0),IF(PLANTILLA!X79=40,VLOOKUP(PLANTILLA!V79,'[1]Tablas despensa y pasaje 2018'!$A$3:$I$38,6,0))),IF(X79=30,VLOOKUP(V79,'[1]Tablas despensa y pasaje 2018'!$A$41:$I$48,2,0),IF(X79=40,VLOOKUP(V79,'[1]Tablas despensa y pasaje 2018'!$A$41:$I$48,6,0),0))))</f>
        <v>30883</v>
      </c>
      <c r="AB79" s="49">
        <f>IF(C79="Plaza sin presupuesto",0,IF(W79="si",IF(X79=30,VLOOKUP(V79,'[1]Tablas despensa y pasaje 2018'!$A$3:$I$38,3,0),IF(PLANTILLA!X79=40,VLOOKUP(PLANTILLA!V79,'[1]Tablas despensa y pasaje 2018'!$A$3:$I$38,7,0))),IF(X79=30,VLOOKUP(V79,'[1]Tablas despensa y pasaje 2018'!$A$41:$I$48,3,0),IF(X79=40,VLOOKUP(V79,'[1]Tablas despensa y pasaje 2018'!$A$41:$I$48,7,0),0))))</f>
        <v>1671</v>
      </c>
      <c r="AC79" s="49">
        <f>IF(C79="Plaza sin presupuesto",0,IF(W79="si",IF(X79=30,VLOOKUP(V79,'[1]Tablas despensa y pasaje 2018'!$A$3:$I$38,4,0),IF(PLANTILLA!X79=40,VLOOKUP(PLANTILLA!V79,'[1]Tablas despensa y pasaje 2018'!$A$3:$I$38,8,0))),IF(X79=30,VLOOKUP(V79,'[1]Tablas despensa y pasaje 2018'!$A$41:$I$48,4,0),IF(X79=40,VLOOKUP(V79,'[1]Tablas despensa y pasaje 2018'!$A$41:$I$48,8,0),0))))</f>
        <v>1133</v>
      </c>
      <c r="AD79" s="49">
        <f t="shared" si="173"/>
        <v>0</v>
      </c>
      <c r="AE79" s="49">
        <f t="shared" si="174"/>
        <v>265.08</v>
      </c>
      <c r="AF79" s="49">
        <f>IF((DATEDIF(P79,$AE$1,"d"))&lt;365,((((DATEDIF(P79,$AE$1,"d"))*15)/365)*(AA79/30)),IF(AND(K79="SEIJAL",Y79="B"),((AA79+AB79+AC79+AD79+AE79)/30)*15,(AA79/30)*15))</f>
        <v>15441.5</v>
      </c>
      <c r="AG79" s="49">
        <f t="shared" si="175"/>
        <v>51471.666666666672</v>
      </c>
      <c r="AH79" s="49">
        <f t="shared" si="176"/>
        <v>5147.166666666667</v>
      </c>
      <c r="AI79" s="49">
        <f t="shared" si="128"/>
        <v>5404.5249999999996</v>
      </c>
      <c r="AJ79" s="49">
        <f t="shared" si="129"/>
        <v>926.49</v>
      </c>
      <c r="AK79" s="49">
        <f t="shared" si="130"/>
        <v>617.66</v>
      </c>
      <c r="AL79" s="49">
        <f t="shared" si="131"/>
        <v>1482.384</v>
      </c>
      <c r="AM79" s="50">
        <f>IF((SUM(AA79:AE79)/2)=0,0,(((((SUM(AA79:AE79)/2)-(VLOOKUP((SUM(AA79:AE79)/2),'[1]Tablas ISR'!$A$4:$D$14,1,TRUE)))*(VLOOKUP((SUM(AA79:AE79)/2),'[1]Tablas ISR'!$A$4:$D$14,4,TRUE)))/100)+(VLOOKUP((SUM(AA79:AE79)/2),'[1]Tablas ISR'!$A$4:$D$14,3,TRUE)))*2)</f>
        <v>6192.874272</v>
      </c>
      <c r="AN79" s="51">
        <f t="shared" si="132"/>
        <v>3551.5450000000001</v>
      </c>
      <c r="AO79" s="49">
        <f t="shared" si="133"/>
        <v>15441.5</v>
      </c>
      <c r="AP79" s="49">
        <f t="shared" si="134"/>
        <v>835.5</v>
      </c>
      <c r="AQ79" s="49">
        <f t="shared" si="135"/>
        <v>566.5</v>
      </c>
      <c r="AR79" s="49">
        <f t="shared" si="136"/>
        <v>0</v>
      </c>
      <c r="AS79" s="49">
        <f t="shared" si="137"/>
        <v>132.54</v>
      </c>
      <c r="AT79" s="49">
        <f t="shared" si="138"/>
        <v>2702.2624999999998</v>
      </c>
      <c r="AU79" s="49">
        <f t="shared" si="139"/>
        <v>463.245</v>
      </c>
      <c r="AV79" s="49">
        <f t="shared" si="140"/>
        <v>741.19200000000001</v>
      </c>
      <c r="AW79" s="52">
        <f t="shared" si="141"/>
        <v>12103.830364000001</v>
      </c>
      <c r="AX79" s="3">
        <f t="shared" si="142"/>
        <v>1029.4333333333334</v>
      </c>
      <c r="AY79" s="3">
        <f t="shared" si="143"/>
        <v>55.7</v>
      </c>
      <c r="AZ79" s="3">
        <f t="shared" si="144"/>
        <v>37.766666666666666</v>
      </c>
      <c r="BA79" s="3">
        <f t="shared" si="145"/>
        <v>0</v>
      </c>
      <c r="BB79" s="3">
        <f t="shared" si="146"/>
        <v>8.8360000000000003</v>
      </c>
      <c r="BC79" s="3">
        <f t="shared" si="147"/>
        <v>42.305479452054797</v>
      </c>
      <c r="BD79" s="3">
        <f t="shared" si="148"/>
        <v>141.01826484018267</v>
      </c>
      <c r="BE79" s="3">
        <f t="shared" si="149"/>
        <v>14.101826484018266</v>
      </c>
      <c r="BF79" s="3">
        <f t="shared" si="150"/>
        <v>180.15083333333331</v>
      </c>
      <c r="BG79" s="3">
        <f t="shared" si="151"/>
        <v>30.882999999999999</v>
      </c>
      <c r="BH79" s="3">
        <f t="shared" si="152"/>
        <v>20.588666666666665</v>
      </c>
      <c r="BI79" s="3">
        <f t="shared" si="153"/>
        <v>49.412799999999997</v>
      </c>
      <c r="BJ79" s="3">
        <f t="shared" si="154"/>
        <v>30883</v>
      </c>
      <c r="BK79" s="3">
        <f t="shared" si="155"/>
        <v>1671</v>
      </c>
      <c r="BL79" s="3">
        <f t="shared" si="156"/>
        <v>1133</v>
      </c>
      <c r="BM79" s="3">
        <f t="shared" si="157"/>
        <v>0</v>
      </c>
      <c r="BN79" s="3">
        <f t="shared" si="158"/>
        <v>265.08</v>
      </c>
      <c r="BO79" s="3">
        <f t="shared" si="159"/>
        <v>1286.7916666666667</v>
      </c>
      <c r="BP79" s="3">
        <f t="shared" si="160"/>
        <v>4289.3055555555557</v>
      </c>
      <c r="BQ79" s="3">
        <f t="shared" si="161"/>
        <v>428.9305555555556</v>
      </c>
      <c r="BR79" s="3">
        <f t="shared" si="162"/>
        <v>5404.5249999999996</v>
      </c>
      <c r="BS79" s="3">
        <f t="shared" si="163"/>
        <v>926.49</v>
      </c>
      <c r="BT79" s="3">
        <f t="shared" si="164"/>
        <v>617.66</v>
      </c>
      <c r="BU79" s="3">
        <f t="shared" si="165"/>
        <v>1482.384</v>
      </c>
      <c r="BV79" s="53">
        <f t="shared" si="177"/>
        <v>370596</v>
      </c>
      <c r="BW79" s="53">
        <f t="shared" si="178"/>
        <v>20052</v>
      </c>
      <c r="BX79" s="53">
        <f t="shared" si="179"/>
        <v>13596</v>
      </c>
      <c r="BY79" s="53">
        <f t="shared" si="180"/>
        <v>0</v>
      </c>
      <c r="BZ79" s="53">
        <f t="shared" si="181"/>
        <v>3180.96</v>
      </c>
      <c r="CA79" s="53">
        <f t="shared" si="182"/>
        <v>15441.5</v>
      </c>
      <c r="CB79" s="53">
        <f t="shared" si="183"/>
        <v>51471.666666666672</v>
      </c>
      <c r="CC79" s="53">
        <f t="shared" si="184"/>
        <v>5147.166666666667</v>
      </c>
      <c r="CD79" s="53">
        <f t="shared" si="185"/>
        <v>64854.299999999996</v>
      </c>
      <c r="CE79" s="53">
        <f t="shared" si="186"/>
        <v>11117.880000000001</v>
      </c>
      <c r="CF79" s="53">
        <f t="shared" si="187"/>
        <v>7411.92</v>
      </c>
      <c r="CG79" s="53">
        <f t="shared" si="188"/>
        <v>17788.608</v>
      </c>
      <c r="CH79" s="54">
        <f t="shared" si="189"/>
        <v>580658.00133333344</v>
      </c>
      <c r="CI79" s="46"/>
      <c r="CJ79" s="46"/>
      <c r="CK79" s="46"/>
      <c r="CL79" s="46"/>
      <c r="CM79" s="46"/>
      <c r="CN79" s="46"/>
      <c r="CO79" s="46"/>
      <c r="CP79" s="46"/>
    </row>
    <row r="80" spans="1:94" ht="27" customHeight="1" x14ac:dyDescent="0.2">
      <c r="A80" s="8">
        <v>76</v>
      </c>
      <c r="B80" s="8">
        <v>1007</v>
      </c>
      <c r="C80" s="43" t="s">
        <v>29</v>
      </c>
      <c r="D80" s="44" t="str">
        <f t="shared" si="166"/>
        <v>Trujillo</v>
      </c>
      <c r="E80" s="44" t="str">
        <f t="shared" si="167"/>
        <v xml:space="preserve">Hernandez </v>
      </c>
      <c r="F80" s="44" t="str">
        <f t="shared" si="168"/>
        <v>Karina Margarita</v>
      </c>
      <c r="G80" s="8">
        <v>1</v>
      </c>
      <c r="H80" s="8" t="s">
        <v>28</v>
      </c>
      <c r="I80" s="45" t="s">
        <v>27</v>
      </c>
      <c r="J80" s="45" t="s">
        <v>7</v>
      </c>
      <c r="K80" s="46" t="s">
        <v>18</v>
      </c>
      <c r="L80" s="46" t="s">
        <v>17</v>
      </c>
      <c r="M80" s="46" t="s">
        <v>11</v>
      </c>
      <c r="N80" s="47" t="str">
        <f>IF(H80&gt;0,MID(H80,9,2)&amp;"/"&amp;MID(H80,7,2)&amp;"/"&amp;MID(H80,5,2),0)</f>
        <v>05/12/72</v>
      </c>
      <c r="O80" s="48">
        <f t="shared" ca="1" si="169"/>
        <v>45</v>
      </c>
      <c r="P80" s="1">
        <v>36996</v>
      </c>
      <c r="Q80" s="2" t="str">
        <f>IF(P80&gt;0,(DATEDIF(P80,$P$1,"y")&amp;" años, "&amp;DATEDIF(P80,$P$1,"YM")&amp;" meses, "&amp;DATEDIF(P80,$P$1,"md")&amp;" dias."),0)</f>
        <v>17 años, 8 meses, 16 dias.</v>
      </c>
      <c r="R80" s="2">
        <f t="shared" si="170"/>
        <v>17</v>
      </c>
      <c r="S80" s="2">
        <f t="shared" si="171"/>
        <v>212</v>
      </c>
      <c r="T80" s="2">
        <f t="shared" si="172"/>
        <v>6469</v>
      </c>
      <c r="U80" s="46" t="s">
        <v>3</v>
      </c>
      <c r="V80" s="46">
        <v>16</v>
      </c>
      <c r="W80" s="46" t="s">
        <v>16</v>
      </c>
      <c r="X80" s="46">
        <v>40</v>
      </c>
      <c r="Y80" s="46" t="s">
        <v>15</v>
      </c>
      <c r="Z80" s="46" t="s">
        <v>1</v>
      </c>
      <c r="AA80" s="49">
        <f>IF(C80="Plaza sin presupuesto",0,IF(W80="si",IF(X80=30,VLOOKUP(V80,'[1]Tablas despensa y pasaje 2018'!$A$3:$I$38,2,0),IF(PLANTILLA!X80=40,VLOOKUP(PLANTILLA!V80,'[1]Tablas despensa y pasaje 2018'!$A$3:$I$38,6,0))),IF(X80=30,VLOOKUP(V80,'[1]Tablas despensa y pasaje 2018'!$A$41:$I$48,2,0),IF(X80=40,VLOOKUP(V80,'[1]Tablas despensa y pasaje 2018'!$A$41:$I$48,6,0),0))))</f>
        <v>17213</v>
      </c>
      <c r="AB80" s="49">
        <f>IF(C80="Plaza sin presupuesto",0,IF(W80="si",IF(X80=30,VLOOKUP(V80,'[1]Tablas despensa y pasaje 2018'!$A$3:$I$38,3,0),IF(PLANTILLA!X80=40,VLOOKUP(PLANTILLA!V80,'[1]Tablas despensa y pasaje 2018'!$A$3:$I$38,7,0))),IF(X80=30,VLOOKUP(V80,'[1]Tablas despensa y pasaje 2018'!$A$41:$I$48,3,0),IF(X80=40,VLOOKUP(V80,'[1]Tablas despensa y pasaje 2018'!$A$41:$I$48,7,0),0))))</f>
        <v>1247</v>
      </c>
      <c r="AC80" s="49">
        <f>IF(C80="Plaza sin presupuesto",0,IF(W80="si",IF(X80=30,VLOOKUP(V80,'[1]Tablas despensa y pasaje 2018'!$A$3:$I$38,4,0),IF(PLANTILLA!X80=40,VLOOKUP(PLANTILLA!V80,'[1]Tablas despensa y pasaje 2018'!$A$3:$I$38,8,0))),IF(X80=30,VLOOKUP(V80,'[1]Tablas despensa y pasaje 2018'!$A$41:$I$48,4,0),IF(X80=40,VLOOKUP(V80,'[1]Tablas despensa y pasaje 2018'!$A$41:$I$48,8,0),0))))</f>
        <v>779</v>
      </c>
      <c r="AD80" s="49">
        <f t="shared" si="173"/>
        <v>0</v>
      </c>
      <c r="AE80" s="49">
        <f t="shared" si="174"/>
        <v>353.44</v>
      </c>
      <c r="AF80" s="49">
        <f>IF((DATEDIF(P80,$AE$1,"d"))&lt;365,((((DATEDIF(P80,$AE$1,"d"))*15)/365)*(AA80/30)),IF(AND(K80="SEIJAL",Y80="B"),((AA80+AB80+AC80+AD80+AE80)/30)*15,(AA80/30)*15))</f>
        <v>8606.5</v>
      </c>
      <c r="AG80" s="49">
        <f t="shared" si="175"/>
        <v>28688.333333333332</v>
      </c>
      <c r="AH80" s="49">
        <f t="shared" si="176"/>
        <v>2868.833333333333</v>
      </c>
      <c r="AI80" s="49">
        <f t="shared" si="128"/>
        <v>3012.2749999999996</v>
      </c>
      <c r="AJ80" s="49">
        <f t="shared" si="129"/>
        <v>516.39</v>
      </c>
      <c r="AK80" s="49">
        <f t="shared" si="130"/>
        <v>344.26</v>
      </c>
      <c r="AL80" s="49">
        <f t="shared" si="131"/>
        <v>826.22400000000005</v>
      </c>
      <c r="AM80" s="50">
        <f>IF((SUM(AA80:AE80)/2)=0,0,(((((SUM(AA80:AE80)/2)-(VLOOKUP((SUM(AA80:AE80)/2),'[1]Tablas ISR'!$A$4:$D$14,1,TRUE)))*(VLOOKUP((SUM(AA80:AE80)/2),'[1]Tablas ISR'!$A$4:$D$14,4,TRUE)))/100)+(VLOOKUP((SUM(AA80:AE80)/2),'[1]Tablas ISR'!$A$4:$D$14,3,TRUE)))*2)</f>
        <v>2908.5964319999994</v>
      </c>
      <c r="AN80" s="51">
        <f t="shared" si="132"/>
        <v>1979.4950000000001</v>
      </c>
      <c r="AO80" s="49">
        <f t="shared" si="133"/>
        <v>8606.5</v>
      </c>
      <c r="AP80" s="49">
        <f t="shared" si="134"/>
        <v>623.5</v>
      </c>
      <c r="AQ80" s="49">
        <f t="shared" si="135"/>
        <v>389.5</v>
      </c>
      <c r="AR80" s="49">
        <f t="shared" si="136"/>
        <v>0</v>
      </c>
      <c r="AS80" s="49">
        <f t="shared" si="137"/>
        <v>176.72</v>
      </c>
      <c r="AT80" s="49">
        <f t="shared" si="138"/>
        <v>1506.1374999999998</v>
      </c>
      <c r="AU80" s="49">
        <f t="shared" si="139"/>
        <v>258.19499999999999</v>
      </c>
      <c r="AV80" s="49">
        <f t="shared" si="140"/>
        <v>413.11200000000002</v>
      </c>
      <c r="AW80" s="52">
        <f t="shared" si="141"/>
        <v>7352.1742839999997</v>
      </c>
      <c r="AX80" s="3">
        <f t="shared" si="142"/>
        <v>573.76666666666665</v>
      </c>
      <c r="AY80" s="3">
        <f t="shared" si="143"/>
        <v>41.56666666666667</v>
      </c>
      <c r="AZ80" s="3">
        <f t="shared" si="144"/>
        <v>25.966666666666665</v>
      </c>
      <c r="BA80" s="3">
        <f t="shared" si="145"/>
        <v>0</v>
      </c>
      <c r="BB80" s="3">
        <f t="shared" si="146"/>
        <v>11.781333333333333</v>
      </c>
      <c r="BC80" s="3">
        <f t="shared" si="147"/>
        <v>23.579452054794519</v>
      </c>
      <c r="BD80" s="3">
        <f t="shared" si="148"/>
        <v>78.598173515981728</v>
      </c>
      <c r="BE80" s="3">
        <f t="shared" si="149"/>
        <v>7.8598173515981724</v>
      </c>
      <c r="BF80" s="3">
        <f t="shared" si="150"/>
        <v>100.40916666666665</v>
      </c>
      <c r="BG80" s="3">
        <f t="shared" si="151"/>
        <v>17.213000000000001</v>
      </c>
      <c r="BH80" s="3">
        <f t="shared" si="152"/>
        <v>11.475333333333333</v>
      </c>
      <c r="BI80" s="3">
        <f t="shared" si="153"/>
        <v>27.540800000000001</v>
      </c>
      <c r="BJ80" s="3">
        <f t="shared" si="154"/>
        <v>17213</v>
      </c>
      <c r="BK80" s="3">
        <f t="shared" si="155"/>
        <v>1247</v>
      </c>
      <c r="BL80" s="3">
        <f t="shared" si="156"/>
        <v>779</v>
      </c>
      <c r="BM80" s="3">
        <f t="shared" si="157"/>
        <v>0</v>
      </c>
      <c r="BN80" s="3">
        <f t="shared" si="158"/>
        <v>353.44</v>
      </c>
      <c r="BO80" s="3">
        <f t="shared" si="159"/>
        <v>717.20833333333337</v>
      </c>
      <c r="BP80" s="3">
        <f t="shared" si="160"/>
        <v>2390.6944444444443</v>
      </c>
      <c r="BQ80" s="3">
        <f t="shared" si="161"/>
        <v>239.06944444444443</v>
      </c>
      <c r="BR80" s="3">
        <f t="shared" si="162"/>
        <v>3012.2749999999996</v>
      </c>
      <c r="BS80" s="3">
        <f t="shared" si="163"/>
        <v>516.39</v>
      </c>
      <c r="BT80" s="3">
        <f t="shared" si="164"/>
        <v>344.26</v>
      </c>
      <c r="BU80" s="3">
        <f t="shared" si="165"/>
        <v>826.22400000000005</v>
      </c>
      <c r="BV80" s="53">
        <f t="shared" si="177"/>
        <v>206556</v>
      </c>
      <c r="BW80" s="53">
        <f t="shared" si="178"/>
        <v>14964</v>
      </c>
      <c r="BX80" s="53">
        <f t="shared" si="179"/>
        <v>9348</v>
      </c>
      <c r="BY80" s="53">
        <f t="shared" si="180"/>
        <v>0</v>
      </c>
      <c r="BZ80" s="53">
        <f t="shared" si="181"/>
        <v>4241.28</v>
      </c>
      <c r="CA80" s="53">
        <f t="shared" si="182"/>
        <v>8606.5</v>
      </c>
      <c r="CB80" s="53">
        <f t="shared" si="183"/>
        <v>28688.333333333332</v>
      </c>
      <c r="CC80" s="53">
        <f t="shared" si="184"/>
        <v>2868.833333333333</v>
      </c>
      <c r="CD80" s="53">
        <f t="shared" si="185"/>
        <v>36147.299999999996</v>
      </c>
      <c r="CE80" s="53">
        <f t="shared" si="186"/>
        <v>6196.68</v>
      </c>
      <c r="CF80" s="53">
        <f t="shared" si="187"/>
        <v>4131.12</v>
      </c>
      <c r="CG80" s="53">
        <f t="shared" si="188"/>
        <v>9914.6880000000001</v>
      </c>
      <c r="CH80" s="54">
        <f t="shared" si="189"/>
        <v>331662.73466666666</v>
      </c>
      <c r="CI80" s="46"/>
      <c r="CJ80" s="46"/>
      <c r="CK80" s="46"/>
      <c r="CL80" s="46"/>
      <c r="CM80" s="46"/>
      <c r="CN80" s="46"/>
      <c r="CO80" s="46"/>
      <c r="CP80" s="46"/>
    </row>
    <row r="81" spans="1:94" ht="27" customHeight="1" x14ac:dyDescent="0.2">
      <c r="A81" s="8">
        <v>77</v>
      </c>
      <c r="B81" s="8">
        <v>0</v>
      </c>
      <c r="C81" s="43" t="s">
        <v>26</v>
      </c>
      <c r="D81" s="44" t="str">
        <f t="shared" si="166"/>
        <v>Estrada</v>
      </c>
      <c r="E81" s="44" t="str">
        <f t="shared" si="167"/>
        <v xml:space="preserve">Pulido </v>
      </c>
      <c r="F81" s="44" t="str">
        <f t="shared" si="168"/>
        <v>Erika</v>
      </c>
      <c r="G81" s="8">
        <v>3</v>
      </c>
      <c r="H81" s="8" t="s">
        <v>25</v>
      </c>
      <c r="I81" s="45" t="s">
        <v>24</v>
      </c>
      <c r="J81" s="45" t="s">
        <v>7</v>
      </c>
      <c r="K81" s="46" t="s">
        <v>23</v>
      </c>
      <c r="L81" s="46" t="s">
        <v>17</v>
      </c>
      <c r="M81" s="46" t="s">
        <v>22</v>
      </c>
      <c r="N81" s="47" t="str">
        <f>IF(H81&gt;0,MID(H81,9,2)&amp;"/"&amp;MID(H81,7,2)&amp;"/"&amp;MID(H81,5,2),0)</f>
        <v>05/11/78</v>
      </c>
      <c r="O81" s="48">
        <f t="shared" ca="1" si="169"/>
        <v>39</v>
      </c>
      <c r="P81" s="1">
        <v>42826</v>
      </c>
      <c r="Q81" s="2" t="str">
        <f>IF(P81&gt;0,(DATEDIF(P81,$P$1,"y")&amp;" años, "&amp;DATEDIF(P81,$P$1,"YM")&amp;" meses, "&amp;DATEDIF(P81,$P$1,"md")&amp;" dias."),0)</f>
        <v>1 años, 8 meses, 30 dias.</v>
      </c>
      <c r="R81" s="2">
        <f t="shared" si="170"/>
        <v>1</v>
      </c>
      <c r="S81" s="2">
        <f t="shared" si="171"/>
        <v>20</v>
      </c>
      <c r="T81" s="2">
        <f t="shared" si="172"/>
        <v>639</v>
      </c>
      <c r="U81" s="46" t="s">
        <v>3</v>
      </c>
      <c r="V81" s="46">
        <v>15</v>
      </c>
      <c r="W81" s="46" t="s">
        <v>16</v>
      </c>
      <c r="X81" s="46">
        <v>40</v>
      </c>
      <c r="Y81" s="46" t="s">
        <v>15</v>
      </c>
      <c r="Z81" s="46" t="s">
        <v>1</v>
      </c>
      <c r="AA81" s="49">
        <f>IF(C81="Plaza sin presupuesto",0,IF(W81="si",IF(X81=30,VLOOKUP(V81,'[1]Tablas despensa y pasaje 2018'!$A$3:$I$38,2,0),IF(PLANTILLA!X81=40,VLOOKUP(PLANTILLA!V81,'[1]Tablas despensa y pasaje 2018'!$A$3:$I$38,6,0))),IF(X81=30,VLOOKUP(V81,'[1]Tablas despensa y pasaje 2018'!$A$41:$I$48,2,0),IF(X81=40,VLOOKUP(V81,'[1]Tablas despensa y pasaje 2018'!$A$41:$I$48,6,0),0))))</f>
        <v>15675</v>
      </c>
      <c r="AB81" s="49">
        <f>IF(C81="Plaza sin presupuesto",0,IF(W81="si",IF(X81=30,VLOOKUP(V81,'[1]Tablas despensa y pasaje 2018'!$A$3:$I$38,3,0),IF(PLANTILLA!X81=40,VLOOKUP(PLANTILLA!V81,'[1]Tablas despensa y pasaje 2018'!$A$3:$I$38,7,0))),IF(X81=30,VLOOKUP(V81,'[1]Tablas despensa y pasaje 2018'!$A$41:$I$48,3,0),IF(X81=40,VLOOKUP(V81,'[1]Tablas despensa y pasaje 2018'!$A$41:$I$48,7,0),0))))</f>
        <v>1206</v>
      </c>
      <c r="AC81" s="49">
        <f>IF(C81="Plaza sin presupuesto",0,IF(W81="si",IF(X81=30,VLOOKUP(V81,'[1]Tablas despensa y pasaje 2018'!$A$3:$I$38,4,0),IF(PLANTILLA!X81=40,VLOOKUP(PLANTILLA!V81,'[1]Tablas despensa y pasaje 2018'!$A$3:$I$38,8,0))),IF(X81=30,VLOOKUP(V81,'[1]Tablas despensa y pasaje 2018'!$A$41:$I$48,4,0),IF(X81=40,VLOOKUP(V81,'[1]Tablas despensa y pasaje 2018'!$A$41:$I$48,8,0),0))))</f>
        <v>755</v>
      </c>
      <c r="AD81" s="49">
        <f t="shared" si="173"/>
        <v>0</v>
      </c>
      <c r="AE81" s="49">
        <f t="shared" si="174"/>
        <v>0</v>
      </c>
      <c r="AF81" s="49">
        <f>IF((DATEDIF(P81,$AE$1,"d"))&lt;365,((((DATEDIF(P81,$AE$1,"d"))*15)/365)*(AA81/30)),IF(AND(K81="SEIJAL",Y81="B"),((AA81+AB81+AC81+AD81+AE81)/30)*15,(AA81/30)*15))</f>
        <v>7837.5</v>
      </c>
      <c r="AG81" s="49">
        <f t="shared" si="175"/>
        <v>26125</v>
      </c>
      <c r="AH81" s="49">
        <f t="shared" si="176"/>
        <v>2612.5</v>
      </c>
      <c r="AI81" s="49">
        <f t="shared" si="128"/>
        <v>2743.125</v>
      </c>
      <c r="AJ81" s="49">
        <f t="shared" si="129"/>
        <v>470.25</v>
      </c>
      <c r="AK81" s="49">
        <f t="shared" si="130"/>
        <v>313.5</v>
      </c>
      <c r="AL81" s="49">
        <f t="shared" si="131"/>
        <v>752.4</v>
      </c>
      <c r="AM81" s="50">
        <f>IF((SUM(AA81:AE81)/2)=0,0,(((((SUM(AA81:AE81)/2)-(VLOOKUP((SUM(AA81:AE81)/2),'[1]Tablas ISR'!$A$4:$D$14,1,TRUE)))*(VLOOKUP((SUM(AA81:AE81)/2),'[1]Tablas ISR'!$A$4:$D$14,4,TRUE)))/100)+(VLOOKUP((SUM(AA81:AE81)/2),'[1]Tablas ISR'!$A$4:$D$14,3,TRUE)))*2)</f>
        <v>2490.700848</v>
      </c>
      <c r="AN81" s="51">
        <f t="shared" si="132"/>
        <v>1802.625</v>
      </c>
      <c r="AO81" s="49">
        <f t="shared" si="133"/>
        <v>7837.5</v>
      </c>
      <c r="AP81" s="49">
        <f t="shared" si="134"/>
        <v>603</v>
      </c>
      <c r="AQ81" s="49">
        <f t="shared" si="135"/>
        <v>377.5</v>
      </c>
      <c r="AR81" s="49">
        <f t="shared" si="136"/>
        <v>0</v>
      </c>
      <c r="AS81" s="49">
        <f t="shared" si="137"/>
        <v>0</v>
      </c>
      <c r="AT81" s="49">
        <f t="shared" si="138"/>
        <v>1371.5625</v>
      </c>
      <c r="AU81" s="49">
        <f t="shared" si="139"/>
        <v>235.125</v>
      </c>
      <c r="AV81" s="49">
        <f t="shared" si="140"/>
        <v>376.2</v>
      </c>
      <c r="AW81" s="52">
        <f t="shared" si="141"/>
        <v>6671.3370759999998</v>
      </c>
      <c r="AX81" s="3">
        <f t="shared" si="142"/>
        <v>522.5</v>
      </c>
      <c r="AY81" s="3">
        <f t="shared" si="143"/>
        <v>40.200000000000003</v>
      </c>
      <c r="AZ81" s="3">
        <f t="shared" si="144"/>
        <v>25.166666666666668</v>
      </c>
      <c r="BA81" s="3">
        <f t="shared" si="145"/>
        <v>0</v>
      </c>
      <c r="BB81" s="3">
        <f t="shared" si="146"/>
        <v>0</v>
      </c>
      <c r="BC81" s="3">
        <f t="shared" si="147"/>
        <v>21.472602739726028</v>
      </c>
      <c r="BD81" s="3">
        <f t="shared" si="148"/>
        <v>71.575342465753423</v>
      </c>
      <c r="BE81" s="3">
        <f t="shared" si="149"/>
        <v>7.1575342465753424</v>
      </c>
      <c r="BF81" s="3">
        <f t="shared" si="150"/>
        <v>91.4375</v>
      </c>
      <c r="BG81" s="3">
        <f t="shared" si="151"/>
        <v>15.675000000000001</v>
      </c>
      <c r="BH81" s="3">
        <f t="shared" si="152"/>
        <v>10.45</v>
      </c>
      <c r="BI81" s="3">
        <f t="shared" si="153"/>
        <v>25.08</v>
      </c>
      <c r="BJ81" s="3">
        <f t="shared" si="154"/>
        <v>15675</v>
      </c>
      <c r="BK81" s="3">
        <f t="shared" si="155"/>
        <v>1206</v>
      </c>
      <c r="BL81" s="3">
        <f t="shared" si="156"/>
        <v>755</v>
      </c>
      <c r="BM81" s="3">
        <f t="shared" si="157"/>
        <v>0</v>
      </c>
      <c r="BN81" s="3">
        <f t="shared" si="158"/>
        <v>0</v>
      </c>
      <c r="BO81" s="3">
        <f t="shared" si="159"/>
        <v>653.125</v>
      </c>
      <c r="BP81" s="3">
        <f t="shared" si="160"/>
        <v>2177.0833333333335</v>
      </c>
      <c r="BQ81" s="3">
        <f t="shared" si="161"/>
        <v>217.70833333333334</v>
      </c>
      <c r="BR81" s="3">
        <f t="shared" si="162"/>
        <v>2743.125</v>
      </c>
      <c r="BS81" s="3">
        <f t="shared" si="163"/>
        <v>470.25</v>
      </c>
      <c r="BT81" s="3">
        <f t="shared" si="164"/>
        <v>313.5</v>
      </c>
      <c r="BU81" s="3">
        <f t="shared" si="165"/>
        <v>752.4</v>
      </c>
      <c r="BV81" s="53">
        <f t="shared" si="177"/>
        <v>188100</v>
      </c>
      <c r="BW81" s="53">
        <f t="shared" si="178"/>
        <v>14472</v>
      </c>
      <c r="BX81" s="53">
        <f t="shared" si="179"/>
        <v>9060</v>
      </c>
      <c r="BY81" s="53">
        <f t="shared" si="180"/>
        <v>0</v>
      </c>
      <c r="BZ81" s="53">
        <f t="shared" si="181"/>
        <v>0</v>
      </c>
      <c r="CA81" s="53">
        <f t="shared" si="182"/>
        <v>7837.5</v>
      </c>
      <c r="CB81" s="53">
        <f t="shared" si="183"/>
        <v>26125</v>
      </c>
      <c r="CC81" s="53">
        <f t="shared" si="184"/>
        <v>2612.5</v>
      </c>
      <c r="CD81" s="53">
        <f t="shared" si="185"/>
        <v>32917.5</v>
      </c>
      <c r="CE81" s="53">
        <f t="shared" si="186"/>
        <v>5643</v>
      </c>
      <c r="CF81" s="53">
        <f t="shared" si="187"/>
        <v>3762</v>
      </c>
      <c r="CG81" s="53">
        <f t="shared" si="188"/>
        <v>9028.7999999999993</v>
      </c>
      <c r="CH81" s="54">
        <f t="shared" si="189"/>
        <v>299558.3</v>
      </c>
      <c r="CI81" s="46"/>
      <c r="CJ81" s="46"/>
      <c r="CK81" s="46"/>
      <c r="CL81" s="46"/>
      <c r="CM81" s="46"/>
      <c r="CN81" s="46"/>
      <c r="CO81" s="46"/>
      <c r="CP81" s="46"/>
    </row>
    <row r="82" spans="1:94" ht="27" customHeight="1" x14ac:dyDescent="0.2">
      <c r="A82" s="8">
        <v>78</v>
      </c>
      <c r="B82" s="8">
        <v>1009</v>
      </c>
      <c r="C82" s="43" t="s">
        <v>21</v>
      </c>
      <c r="D82" s="44" t="str">
        <f t="shared" si="166"/>
        <v>Jimenez</v>
      </c>
      <c r="E82" s="44" t="str">
        <f t="shared" si="167"/>
        <v xml:space="preserve">Gonzalez </v>
      </c>
      <c r="F82" s="44" t="str">
        <f t="shared" si="168"/>
        <v>Francia Edith</v>
      </c>
      <c r="G82" s="8">
        <v>1</v>
      </c>
      <c r="H82" s="8" t="s">
        <v>20</v>
      </c>
      <c r="I82" s="45" t="s">
        <v>19</v>
      </c>
      <c r="J82" s="45" t="s">
        <v>7</v>
      </c>
      <c r="K82" s="46" t="s">
        <v>18</v>
      </c>
      <c r="L82" s="46" t="s">
        <v>17</v>
      </c>
      <c r="M82" s="46" t="s">
        <v>11</v>
      </c>
      <c r="N82" s="47" t="str">
        <f>IF(H82&gt;0,MID(H82,9,2)&amp;"/"&amp;MID(H82,7,2)&amp;"/"&amp;MID(H82,5,2),0)</f>
        <v>12/10/81</v>
      </c>
      <c r="O82" s="48">
        <f t="shared" ca="1" si="169"/>
        <v>36</v>
      </c>
      <c r="P82" s="1">
        <v>41031</v>
      </c>
      <c r="Q82" s="2" t="str">
        <f>IF(P82&gt;0,(DATEDIF(P82,$P$1,"y")&amp;" años, "&amp;DATEDIF(P82,$P$1,"YM")&amp;" meses, "&amp;DATEDIF(P82,$P$1,"md")&amp;" dias."),0)</f>
        <v>6 años, 7 meses, 29 dias.</v>
      </c>
      <c r="R82" s="2">
        <f t="shared" si="170"/>
        <v>6</v>
      </c>
      <c r="S82" s="2">
        <f t="shared" si="171"/>
        <v>79</v>
      </c>
      <c r="T82" s="2">
        <f t="shared" si="172"/>
        <v>2434</v>
      </c>
      <c r="U82" s="46" t="s">
        <v>3</v>
      </c>
      <c r="V82" s="46">
        <v>15</v>
      </c>
      <c r="W82" s="46" t="s">
        <v>16</v>
      </c>
      <c r="X82" s="46">
        <v>40</v>
      </c>
      <c r="Y82" s="46" t="s">
        <v>15</v>
      </c>
      <c r="Z82" s="46" t="s">
        <v>1</v>
      </c>
      <c r="AA82" s="49">
        <f>IF(C82="Plaza sin presupuesto",0,IF(W82="si",IF(X82=30,VLOOKUP(V82,'[1]Tablas despensa y pasaje 2018'!$A$3:$I$38,2,0),IF(PLANTILLA!X82=40,VLOOKUP(PLANTILLA!V82,'[1]Tablas despensa y pasaje 2018'!$A$3:$I$38,6,0))),IF(X82=30,VLOOKUP(V82,'[1]Tablas despensa y pasaje 2018'!$A$41:$I$48,2,0),IF(X82=40,VLOOKUP(V82,'[1]Tablas despensa y pasaje 2018'!$A$41:$I$48,6,0),0))))</f>
        <v>15675</v>
      </c>
      <c r="AB82" s="49">
        <f>IF(C82="Plaza sin presupuesto",0,IF(W82="si",IF(X82=30,VLOOKUP(V82,'[1]Tablas despensa y pasaje 2018'!$A$3:$I$38,3,0),IF(PLANTILLA!X82=40,VLOOKUP(PLANTILLA!V82,'[1]Tablas despensa y pasaje 2018'!$A$3:$I$38,7,0))),IF(X82=30,VLOOKUP(V82,'[1]Tablas despensa y pasaje 2018'!$A$41:$I$48,3,0),IF(X82=40,VLOOKUP(V82,'[1]Tablas despensa y pasaje 2018'!$A$41:$I$48,7,0),0))))</f>
        <v>1206</v>
      </c>
      <c r="AC82" s="49">
        <f>IF(C82="Plaza sin presupuesto",0,IF(W82="si",IF(X82=30,VLOOKUP(V82,'[1]Tablas despensa y pasaje 2018'!$A$3:$I$38,4,0),IF(PLANTILLA!X82=40,VLOOKUP(PLANTILLA!V82,'[1]Tablas despensa y pasaje 2018'!$A$3:$I$38,8,0))),IF(X82=30,VLOOKUP(V82,'[1]Tablas despensa y pasaje 2018'!$A$41:$I$48,4,0),IF(X82=40,VLOOKUP(V82,'[1]Tablas despensa y pasaje 2018'!$A$41:$I$48,8,0),0))))</f>
        <v>755</v>
      </c>
      <c r="AD82" s="49">
        <f t="shared" si="173"/>
        <v>0</v>
      </c>
      <c r="AE82" s="49">
        <f t="shared" si="174"/>
        <v>176.72</v>
      </c>
      <c r="AF82" s="49">
        <f>IF((DATEDIF(P82,$AE$1,"d"))&lt;365,((((DATEDIF(P82,$AE$1,"d"))*15)/365)*(AA82/30)),IF(AND(K82="SEIJAL",Y82="B"),((AA82+AB82+AC82+AD82+AE82)/30)*15,(AA82/30)*15))</f>
        <v>7837.5</v>
      </c>
      <c r="AG82" s="49">
        <f t="shared" si="175"/>
        <v>26125</v>
      </c>
      <c r="AH82" s="49">
        <f t="shared" si="176"/>
        <v>2612.5</v>
      </c>
      <c r="AI82" s="49">
        <f t="shared" si="128"/>
        <v>2743.125</v>
      </c>
      <c r="AJ82" s="49">
        <f t="shared" si="129"/>
        <v>470.25</v>
      </c>
      <c r="AK82" s="49">
        <f t="shared" si="130"/>
        <v>313.5</v>
      </c>
      <c r="AL82" s="49">
        <f t="shared" si="131"/>
        <v>752.4</v>
      </c>
      <c r="AM82" s="50">
        <f>IF((SUM(AA82:AE82)/2)=0,0,(((((SUM(AA82:AE82)/2)-(VLOOKUP((SUM(AA82:AE82)/2),'[1]Tablas ISR'!$A$4:$D$14,1,TRUE)))*(VLOOKUP((SUM(AA82:AE82)/2),'[1]Tablas ISR'!$A$4:$D$14,4,TRUE)))/100)+(VLOOKUP((SUM(AA82:AE82)/2),'[1]Tablas ISR'!$A$4:$D$14,3,TRUE)))*2)</f>
        <v>2528.4482400000002</v>
      </c>
      <c r="AN82" s="51">
        <f t="shared" si="132"/>
        <v>1802.625</v>
      </c>
      <c r="AO82" s="49">
        <f t="shared" si="133"/>
        <v>7837.5</v>
      </c>
      <c r="AP82" s="49">
        <f t="shared" si="134"/>
        <v>603</v>
      </c>
      <c r="AQ82" s="49">
        <f t="shared" si="135"/>
        <v>377.5</v>
      </c>
      <c r="AR82" s="49">
        <f t="shared" si="136"/>
        <v>0</v>
      </c>
      <c r="AS82" s="49">
        <f t="shared" si="137"/>
        <v>88.36</v>
      </c>
      <c r="AT82" s="49">
        <f t="shared" si="138"/>
        <v>1371.5625</v>
      </c>
      <c r="AU82" s="49">
        <f t="shared" si="139"/>
        <v>235.125</v>
      </c>
      <c r="AV82" s="49">
        <f t="shared" si="140"/>
        <v>376.2</v>
      </c>
      <c r="AW82" s="52">
        <f t="shared" si="141"/>
        <v>6740.8233800000007</v>
      </c>
      <c r="AX82" s="3">
        <f t="shared" si="142"/>
        <v>522.5</v>
      </c>
      <c r="AY82" s="3">
        <f t="shared" si="143"/>
        <v>40.200000000000003</v>
      </c>
      <c r="AZ82" s="3">
        <f t="shared" si="144"/>
        <v>25.166666666666668</v>
      </c>
      <c r="BA82" s="3">
        <f t="shared" si="145"/>
        <v>0</v>
      </c>
      <c r="BB82" s="3">
        <f t="shared" si="146"/>
        <v>5.8906666666666663</v>
      </c>
      <c r="BC82" s="3">
        <f t="shared" si="147"/>
        <v>21.472602739726028</v>
      </c>
      <c r="BD82" s="3">
        <f t="shared" si="148"/>
        <v>71.575342465753423</v>
      </c>
      <c r="BE82" s="3">
        <f t="shared" si="149"/>
        <v>7.1575342465753424</v>
      </c>
      <c r="BF82" s="3">
        <f t="shared" si="150"/>
        <v>91.4375</v>
      </c>
      <c r="BG82" s="3">
        <f t="shared" si="151"/>
        <v>15.675000000000001</v>
      </c>
      <c r="BH82" s="3">
        <f t="shared" si="152"/>
        <v>10.45</v>
      </c>
      <c r="BI82" s="3">
        <f t="shared" si="153"/>
        <v>25.08</v>
      </c>
      <c r="BJ82" s="3">
        <f t="shared" si="154"/>
        <v>15675</v>
      </c>
      <c r="BK82" s="3">
        <f t="shared" si="155"/>
        <v>1206</v>
      </c>
      <c r="BL82" s="3">
        <f t="shared" si="156"/>
        <v>755</v>
      </c>
      <c r="BM82" s="3">
        <f t="shared" si="157"/>
        <v>0</v>
      </c>
      <c r="BN82" s="3">
        <f t="shared" si="158"/>
        <v>176.72</v>
      </c>
      <c r="BO82" s="3">
        <f t="shared" si="159"/>
        <v>653.125</v>
      </c>
      <c r="BP82" s="3">
        <f t="shared" si="160"/>
        <v>2177.0833333333335</v>
      </c>
      <c r="BQ82" s="3">
        <f t="shared" si="161"/>
        <v>217.70833333333334</v>
      </c>
      <c r="BR82" s="3">
        <f t="shared" si="162"/>
        <v>2743.125</v>
      </c>
      <c r="BS82" s="3">
        <f t="shared" si="163"/>
        <v>470.25</v>
      </c>
      <c r="BT82" s="3">
        <f t="shared" si="164"/>
        <v>313.5</v>
      </c>
      <c r="BU82" s="3">
        <f t="shared" si="165"/>
        <v>752.4</v>
      </c>
      <c r="BV82" s="53">
        <f t="shared" si="177"/>
        <v>188100</v>
      </c>
      <c r="BW82" s="53">
        <f t="shared" si="178"/>
        <v>14472</v>
      </c>
      <c r="BX82" s="53">
        <f t="shared" si="179"/>
        <v>9060</v>
      </c>
      <c r="BY82" s="53">
        <f t="shared" si="180"/>
        <v>0</v>
      </c>
      <c r="BZ82" s="53">
        <f t="shared" si="181"/>
        <v>2120.64</v>
      </c>
      <c r="CA82" s="53">
        <f t="shared" si="182"/>
        <v>7837.5</v>
      </c>
      <c r="CB82" s="53">
        <f t="shared" si="183"/>
        <v>26125</v>
      </c>
      <c r="CC82" s="53">
        <f t="shared" si="184"/>
        <v>2612.5</v>
      </c>
      <c r="CD82" s="53">
        <f t="shared" si="185"/>
        <v>32917.5</v>
      </c>
      <c r="CE82" s="53">
        <f t="shared" si="186"/>
        <v>5643</v>
      </c>
      <c r="CF82" s="53">
        <f t="shared" si="187"/>
        <v>3762</v>
      </c>
      <c r="CG82" s="53">
        <f t="shared" si="188"/>
        <v>9028.7999999999993</v>
      </c>
      <c r="CH82" s="54">
        <f t="shared" si="189"/>
        <v>301678.94</v>
      </c>
      <c r="CI82" s="46"/>
      <c r="CJ82" s="46"/>
      <c r="CK82" s="46"/>
      <c r="CL82" s="46"/>
      <c r="CM82" s="46"/>
      <c r="CN82" s="46"/>
      <c r="CO82" s="46"/>
      <c r="CP82" s="46"/>
    </row>
    <row r="83" spans="1:94" ht="27" customHeight="1" x14ac:dyDescent="0.2">
      <c r="A83" s="8">
        <v>79</v>
      </c>
      <c r="B83" s="8">
        <v>1011</v>
      </c>
      <c r="C83" s="43" t="s">
        <v>14</v>
      </c>
      <c r="D83" s="44" t="str">
        <f t="shared" si="166"/>
        <v>Andrade</v>
      </c>
      <c r="E83" s="44" t="str">
        <f t="shared" si="167"/>
        <v xml:space="preserve">Hernandez </v>
      </c>
      <c r="F83" s="44" t="str">
        <f t="shared" si="168"/>
        <v>Jose De Jesus</v>
      </c>
      <c r="G83" s="8">
        <v>1</v>
      </c>
      <c r="H83" s="8" t="s">
        <v>13</v>
      </c>
      <c r="I83" s="45" t="s">
        <v>8</v>
      </c>
      <c r="J83" s="45" t="s">
        <v>7</v>
      </c>
      <c r="K83" s="46" t="s">
        <v>12</v>
      </c>
      <c r="L83" s="46" t="s">
        <v>5</v>
      </c>
      <c r="M83" s="46" t="s">
        <v>11</v>
      </c>
      <c r="N83" s="47" t="str">
        <f>IF(H83&gt;0,MID(H83,9,2)&amp;"/"&amp;MID(H83,7,2)&amp;"/"&amp;MID(H83,5,2),0)</f>
        <v>12/12/63</v>
      </c>
      <c r="O83" s="48">
        <f t="shared" ca="1" si="169"/>
        <v>54</v>
      </c>
      <c r="P83" s="1">
        <v>39295</v>
      </c>
      <c r="Q83" s="2" t="str">
        <f>IF(P83&gt;0,(DATEDIF(P83,$P$1,"y")&amp;" años, "&amp;DATEDIF(P83,$P$1,"YM")&amp;" meses, "&amp;DATEDIF(P83,$P$1,"md")&amp;" dias."),0)</f>
        <v>11 años, 4 meses, 30 dias.</v>
      </c>
      <c r="R83" s="2">
        <f t="shared" si="170"/>
        <v>11</v>
      </c>
      <c r="S83" s="2">
        <f t="shared" si="171"/>
        <v>136</v>
      </c>
      <c r="T83" s="2">
        <f t="shared" si="172"/>
        <v>4170</v>
      </c>
      <c r="U83" s="46" t="s">
        <v>3</v>
      </c>
      <c r="V83" s="46">
        <v>13</v>
      </c>
      <c r="W83" s="46" t="s">
        <v>1</v>
      </c>
      <c r="X83" s="46">
        <v>40</v>
      </c>
      <c r="Y83" s="46" t="s">
        <v>2</v>
      </c>
      <c r="Z83" s="46" t="s">
        <v>1</v>
      </c>
      <c r="AA83" s="49">
        <f>IF(C83="Plaza sin presupuesto",0,IF(W83="si",IF(X83=30,VLOOKUP(V83,'[1]Tablas despensa y pasaje 2018'!$A$3:$I$38,2,0),IF(PLANTILLA!X83=40,VLOOKUP(PLANTILLA!V83,'[1]Tablas despensa y pasaje 2018'!$A$3:$I$38,6,0))),IF(X83=30,VLOOKUP(V83,'[1]Tablas despensa y pasaje 2018'!$A$41:$I$48,2,0),IF(X83=40,VLOOKUP(V83,'[1]Tablas despensa y pasaje 2018'!$A$41:$I$48,6,0),0))))</f>
        <v>13714</v>
      </c>
      <c r="AB83" s="49">
        <f>IF(C83="Plaza sin presupuesto",0,IF(W83="si",IF(X83=30,VLOOKUP(V83,'[1]Tablas despensa y pasaje 2018'!$A$3:$I$38,3,0),IF(PLANTILLA!X83=40,VLOOKUP(PLANTILLA!V83,'[1]Tablas despensa y pasaje 2018'!$A$3:$I$38,7,0))),IF(X83=30,VLOOKUP(V83,'[1]Tablas despensa y pasaje 2018'!$A$41:$I$48,3,0),IF(X83=40,VLOOKUP(V83,'[1]Tablas despensa y pasaje 2018'!$A$41:$I$48,7,0),0))))</f>
        <v>1128</v>
      </c>
      <c r="AC83" s="49">
        <f>IF(C83="Plaza sin presupuesto",0,IF(W83="si",IF(X83=30,VLOOKUP(V83,'[1]Tablas despensa y pasaje 2018'!$A$3:$I$38,4,0),IF(PLANTILLA!X83=40,VLOOKUP(PLANTILLA!V83,'[1]Tablas despensa y pasaje 2018'!$A$3:$I$38,8,0))),IF(X83=30,VLOOKUP(V83,'[1]Tablas despensa y pasaje 2018'!$A$41:$I$48,4,0),IF(X83=40,VLOOKUP(V83,'[1]Tablas despensa y pasaje 2018'!$A$41:$I$48,8,0),0))))</f>
        <v>703</v>
      </c>
      <c r="AD83" s="49">
        <f t="shared" si="173"/>
        <v>411.41999999999996</v>
      </c>
      <c r="AE83" s="49">
        <f t="shared" si="174"/>
        <v>265.08</v>
      </c>
      <c r="AF83" s="49">
        <f>IF((DATEDIF(P83,$AE$1,"d"))&lt;365,((((DATEDIF(P83,$AE$1,"d"))*15)/365)*(AA83/30)),IF(AND(K83="SEIJAL",Y83="B"),((AA83+AB83+AC83+AD83+AE83)/30)*15,(AA83/30)*15))</f>
        <v>8110.75</v>
      </c>
      <c r="AG83" s="49">
        <f t="shared" si="175"/>
        <v>22856.666666666668</v>
      </c>
      <c r="AH83" s="49">
        <f t="shared" si="176"/>
        <v>2285.6666666666665</v>
      </c>
      <c r="AI83" s="49">
        <f t="shared" si="128"/>
        <v>2399.9499999999998</v>
      </c>
      <c r="AJ83" s="49">
        <f t="shared" si="129"/>
        <v>411.41999999999996</v>
      </c>
      <c r="AK83" s="49">
        <f t="shared" si="130"/>
        <v>274.28000000000003</v>
      </c>
      <c r="AL83" s="49">
        <f t="shared" si="131"/>
        <v>658.27200000000005</v>
      </c>
      <c r="AM83" s="50">
        <f>IF((SUM(AA83:AE83)/2)=0,0,(((((SUM(AA83:AE83)/2)-(VLOOKUP((SUM(AA83:AE83)/2),'[1]Tablas ISR'!$A$4:$D$14,1,TRUE)))*(VLOOKUP((SUM(AA83:AE83)/2),'[1]Tablas ISR'!$A$4:$D$14,4,TRUE)))/100)+(VLOOKUP((SUM(AA83:AE83)/2),'[1]Tablas ISR'!$A$4:$D$14,3,TRUE)))*2)</f>
        <v>2188.5636480000003</v>
      </c>
      <c r="AN83" s="51">
        <f t="shared" si="132"/>
        <v>1577.1100000000001</v>
      </c>
      <c r="AO83" s="49">
        <f t="shared" si="133"/>
        <v>6857</v>
      </c>
      <c r="AP83" s="49">
        <f t="shared" si="134"/>
        <v>564</v>
      </c>
      <c r="AQ83" s="49">
        <f t="shared" si="135"/>
        <v>351.5</v>
      </c>
      <c r="AR83" s="49">
        <f t="shared" si="136"/>
        <v>205.70999999999998</v>
      </c>
      <c r="AS83" s="49">
        <f t="shared" si="137"/>
        <v>132.54</v>
      </c>
      <c r="AT83" s="49">
        <f t="shared" si="138"/>
        <v>1199.9749999999999</v>
      </c>
      <c r="AU83" s="49">
        <f t="shared" si="139"/>
        <v>205.70999999999998</v>
      </c>
      <c r="AV83" s="49">
        <f t="shared" si="140"/>
        <v>329.13600000000002</v>
      </c>
      <c r="AW83" s="52">
        <f t="shared" si="141"/>
        <v>6227.913176</v>
      </c>
      <c r="AX83" s="3">
        <f t="shared" si="142"/>
        <v>457.13333333333333</v>
      </c>
      <c r="AY83" s="3">
        <f t="shared" si="143"/>
        <v>37.6</v>
      </c>
      <c r="AZ83" s="3">
        <f t="shared" si="144"/>
        <v>23.433333333333334</v>
      </c>
      <c r="BA83" s="3">
        <f t="shared" si="145"/>
        <v>13.713999999999999</v>
      </c>
      <c r="BB83" s="3">
        <f t="shared" si="146"/>
        <v>8.8360000000000003</v>
      </c>
      <c r="BC83" s="3">
        <f t="shared" si="147"/>
        <v>22.221232876712328</v>
      </c>
      <c r="BD83" s="3">
        <f t="shared" si="148"/>
        <v>62.621004566210047</v>
      </c>
      <c r="BE83" s="3">
        <f t="shared" si="149"/>
        <v>6.2621004566210043</v>
      </c>
      <c r="BF83" s="3">
        <f t="shared" si="150"/>
        <v>79.998333333333321</v>
      </c>
      <c r="BG83" s="3">
        <f t="shared" si="151"/>
        <v>13.713999999999999</v>
      </c>
      <c r="BH83" s="3">
        <f t="shared" si="152"/>
        <v>9.1426666666666669</v>
      </c>
      <c r="BI83" s="3">
        <f t="shared" si="153"/>
        <v>21.942400000000003</v>
      </c>
      <c r="BJ83" s="3">
        <f t="shared" si="154"/>
        <v>13714</v>
      </c>
      <c r="BK83" s="3">
        <f t="shared" si="155"/>
        <v>1128</v>
      </c>
      <c r="BL83" s="3">
        <f t="shared" si="156"/>
        <v>703</v>
      </c>
      <c r="BM83" s="3">
        <f t="shared" si="157"/>
        <v>411.41999999999996</v>
      </c>
      <c r="BN83" s="3">
        <f t="shared" si="158"/>
        <v>265.08</v>
      </c>
      <c r="BO83" s="3">
        <f t="shared" si="159"/>
        <v>675.89583333333337</v>
      </c>
      <c r="BP83" s="3">
        <f t="shared" si="160"/>
        <v>1904.7222222222224</v>
      </c>
      <c r="BQ83" s="3">
        <f t="shared" si="161"/>
        <v>190.4722222222222</v>
      </c>
      <c r="BR83" s="3">
        <f t="shared" si="162"/>
        <v>2399.9499999999998</v>
      </c>
      <c r="BS83" s="3">
        <f t="shared" si="163"/>
        <v>411.41999999999996</v>
      </c>
      <c r="BT83" s="3">
        <f t="shared" si="164"/>
        <v>274.28000000000003</v>
      </c>
      <c r="BU83" s="3">
        <f t="shared" si="165"/>
        <v>658.27200000000005</v>
      </c>
      <c r="BV83" s="53">
        <f t="shared" si="177"/>
        <v>164568</v>
      </c>
      <c r="BW83" s="53">
        <f t="shared" si="178"/>
        <v>13536</v>
      </c>
      <c r="BX83" s="53">
        <f t="shared" si="179"/>
        <v>8436</v>
      </c>
      <c r="BY83" s="53">
        <f t="shared" si="180"/>
        <v>4937.0399999999991</v>
      </c>
      <c r="BZ83" s="53">
        <f t="shared" si="181"/>
        <v>3180.96</v>
      </c>
      <c r="CA83" s="53">
        <f t="shared" si="182"/>
        <v>8110.75</v>
      </c>
      <c r="CB83" s="53">
        <f t="shared" si="183"/>
        <v>22856.666666666668</v>
      </c>
      <c r="CC83" s="53">
        <f t="shared" si="184"/>
        <v>2285.6666666666665</v>
      </c>
      <c r="CD83" s="53">
        <f t="shared" si="185"/>
        <v>28799.399999999998</v>
      </c>
      <c r="CE83" s="53">
        <f t="shared" si="186"/>
        <v>4937.0399999999991</v>
      </c>
      <c r="CF83" s="53">
        <f t="shared" si="187"/>
        <v>3291.3600000000006</v>
      </c>
      <c r="CG83" s="53">
        <f t="shared" si="188"/>
        <v>7899.264000000001</v>
      </c>
      <c r="CH83" s="54">
        <f t="shared" si="189"/>
        <v>272838.14733333333</v>
      </c>
      <c r="CI83" s="46"/>
      <c r="CJ83" s="46"/>
      <c r="CK83" s="46"/>
      <c r="CL83" s="46"/>
      <c r="CM83" s="46"/>
      <c r="CN83" s="46"/>
      <c r="CO83" s="46"/>
      <c r="CP83" s="46"/>
    </row>
    <row r="84" spans="1:94" ht="27" customHeight="1" x14ac:dyDescent="0.2">
      <c r="A84" s="8">
        <v>80</v>
      </c>
      <c r="B84" s="8">
        <v>1018</v>
      </c>
      <c r="C84" s="43" t="s">
        <v>10</v>
      </c>
      <c r="D84" s="44" t="str">
        <f t="shared" si="166"/>
        <v>Torres</v>
      </c>
      <c r="E84" s="44" t="str">
        <f t="shared" si="167"/>
        <v xml:space="preserve">Aguilar </v>
      </c>
      <c r="F84" s="44" t="str">
        <f t="shared" si="168"/>
        <v>Hermilo</v>
      </c>
      <c r="G84" s="8">
        <v>3</v>
      </c>
      <c r="H84" s="8" t="s">
        <v>9</v>
      </c>
      <c r="I84" s="45" t="s">
        <v>8</v>
      </c>
      <c r="J84" s="45" t="s">
        <v>7</v>
      </c>
      <c r="K84" s="46" t="s">
        <v>6</v>
      </c>
      <c r="L84" s="46" t="s">
        <v>5</v>
      </c>
      <c r="M84" s="46" t="s">
        <v>4</v>
      </c>
      <c r="N84" s="47" t="str">
        <f>IF(H84&gt;0,MID(H84,9,2)&amp;"/"&amp;MID(H84,7,2)&amp;"/"&amp;MID(H84,5,2),0)</f>
        <v>17/09/86</v>
      </c>
      <c r="O84" s="48">
        <f t="shared" ca="1" si="169"/>
        <v>31</v>
      </c>
      <c r="P84" s="1">
        <v>41694</v>
      </c>
      <c r="Q84" s="2" t="str">
        <f>IF(P84&gt;0,(DATEDIF(P84,$P$1,"y")&amp;" años, "&amp;DATEDIF(P84,$P$1,"YM")&amp;" meses, "&amp;DATEDIF(P84,$P$1,"md")&amp;" dias."),0)</f>
        <v>4 años, 10 meses, 7 dias.</v>
      </c>
      <c r="R84" s="2">
        <f t="shared" si="170"/>
        <v>4</v>
      </c>
      <c r="S84" s="2">
        <f t="shared" si="171"/>
        <v>58</v>
      </c>
      <c r="T84" s="2">
        <f t="shared" si="172"/>
        <v>1771</v>
      </c>
      <c r="U84" s="46" t="s">
        <v>3</v>
      </c>
      <c r="V84" s="46">
        <v>13</v>
      </c>
      <c r="W84" s="46" t="s">
        <v>1</v>
      </c>
      <c r="X84" s="46">
        <v>40</v>
      </c>
      <c r="Y84" s="46" t="s">
        <v>2</v>
      </c>
      <c r="Z84" s="46" t="s">
        <v>1</v>
      </c>
      <c r="AA84" s="49">
        <f>IF(C84="Plaza sin presupuesto",0,IF(W84="si",IF(X84=30,VLOOKUP(V84,'[1]Tablas despensa y pasaje 2018'!$A$3:$I$38,2,0),IF(PLANTILLA!X84=40,VLOOKUP(PLANTILLA!V84,'[1]Tablas despensa y pasaje 2018'!$A$3:$I$38,6,0))),IF(X84=30,VLOOKUP(V84,'[1]Tablas despensa y pasaje 2018'!$A$41:$I$48,2,0),IF(X84=40,VLOOKUP(V84,'[1]Tablas despensa y pasaje 2018'!$A$41:$I$48,6,0),0))))</f>
        <v>13714</v>
      </c>
      <c r="AB84" s="49">
        <f>IF(C84="Plaza sin presupuesto",0,IF(W84="si",IF(X84=30,VLOOKUP(V84,'[1]Tablas despensa y pasaje 2018'!$A$3:$I$38,3,0),IF(PLANTILLA!X84=40,VLOOKUP(PLANTILLA!V84,'[1]Tablas despensa y pasaje 2018'!$A$3:$I$38,7,0))),IF(X84=30,VLOOKUP(V84,'[1]Tablas despensa y pasaje 2018'!$A$41:$I$48,3,0),IF(X84=40,VLOOKUP(V84,'[1]Tablas despensa y pasaje 2018'!$A$41:$I$48,7,0),0))))</f>
        <v>1128</v>
      </c>
      <c r="AC84" s="49">
        <f>IF(C84="Plaza sin presupuesto",0,IF(W84="si",IF(X84=30,VLOOKUP(V84,'[1]Tablas despensa y pasaje 2018'!$A$3:$I$38,4,0),IF(PLANTILLA!X84=40,VLOOKUP(PLANTILLA!V84,'[1]Tablas despensa y pasaje 2018'!$A$3:$I$38,8,0))),IF(X84=30,VLOOKUP(V84,'[1]Tablas despensa y pasaje 2018'!$A$41:$I$48,4,0),IF(X84=40,VLOOKUP(V84,'[1]Tablas despensa y pasaje 2018'!$A$41:$I$48,8,0),0))))</f>
        <v>703</v>
      </c>
      <c r="AD84" s="49">
        <f t="shared" si="173"/>
        <v>0</v>
      </c>
      <c r="AE84" s="49">
        <f t="shared" si="174"/>
        <v>0</v>
      </c>
      <c r="AF84" s="49">
        <f>IF((DATEDIF(P84,$AE$1,"d"))&lt;365,((((DATEDIF(P84,$AE$1,"d"))*15)/365)*(AA84/30)),IF(AND(K84="SEIJAL",Y84="B"),((AA84+AB84+AC84+AD84+AE84)/30)*15,(AA84/30)*15))</f>
        <v>6857</v>
      </c>
      <c r="AG84" s="49">
        <f t="shared" si="175"/>
        <v>22856.666666666668</v>
      </c>
      <c r="AH84" s="49">
        <f t="shared" si="176"/>
        <v>2285.6666666666665</v>
      </c>
      <c r="AI84" s="49">
        <f t="shared" si="128"/>
        <v>2399.9499999999998</v>
      </c>
      <c r="AJ84" s="49">
        <f t="shared" si="129"/>
        <v>411.41999999999996</v>
      </c>
      <c r="AK84" s="49">
        <f t="shared" si="130"/>
        <v>274.28000000000003</v>
      </c>
      <c r="AL84" s="49">
        <f t="shared" si="131"/>
        <v>658.27200000000005</v>
      </c>
      <c r="AM84" s="50">
        <f>IF((SUM(AA84:AE84)/2)=0,0,(((((SUM(AA84:AE84)/2)-(VLOOKUP((SUM(AA84:AE84)/2),'[1]Tablas ISR'!$A$4:$D$14,1,TRUE)))*(VLOOKUP((SUM(AA84:AE84)/2),'[1]Tablas ISR'!$A$4:$D$14,4,TRUE)))/100)+(VLOOKUP((SUM(AA84:AE84)/2),'[1]Tablas ISR'!$A$4:$D$14,3,TRUE)))*2)</f>
        <v>2044.0632479999999</v>
      </c>
      <c r="AN84" s="51">
        <f t="shared" si="132"/>
        <v>1577.1100000000001</v>
      </c>
      <c r="AO84" s="49">
        <f t="shared" si="133"/>
        <v>6857</v>
      </c>
      <c r="AP84" s="49">
        <f t="shared" si="134"/>
        <v>564</v>
      </c>
      <c r="AQ84" s="49">
        <f t="shared" si="135"/>
        <v>351.5</v>
      </c>
      <c r="AR84" s="49">
        <f t="shared" si="136"/>
        <v>0</v>
      </c>
      <c r="AS84" s="49">
        <f t="shared" si="137"/>
        <v>0</v>
      </c>
      <c r="AT84" s="49">
        <f t="shared" si="138"/>
        <v>1199.9749999999999</v>
      </c>
      <c r="AU84" s="49">
        <f t="shared" si="139"/>
        <v>205.70999999999998</v>
      </c>
      <c r="AV84" s="49">
        <f t="shared" si="140"/>
        <v>329.13600000000002</v>
      </c>
      <c r="AW84" s="52">
        <f t="shared" si="141"/>
        <v>5961.9133759999995</v>
      </c>
      <c r="AX84" s="3">
        <f t="shared" si="142"/>
        <v>457.13333333333333</v>
      </c>
      <c r="AY84" s="3">
        <f t="shared" si="143"/>
        <v>37.6</v>
      </c>
      <c r="AZ84" s="3">
        <f t="shared" si="144"/>
        <v>23.433333333333334</v>
      </c>
      <c r="BA84" s="3">
        <f t="shared" si="145"/>
        <v>0</v>
      </c>
      <c r="BB84" s="3">
        <f t="shared" si="146"/>
        <v>0</v>
      </c>
      <c r="BC84" s="3">
        <f t="shared" si="147"/>
        <v>18.786301369863015</v>
      </c>
      <c r="BD84" s="3">
        <f t="shared" si="148"/>
        <v>62.621004566210047</v>
      </c>
      <c r="BE84" s="3">
        <f t="shared" si="149"/>
        <v>6.2621004566210043</v>
      </c>
      <c r="BF84" s="3">
        <f t="shared" si="150"/>
        <v>79.998333333333321</v>
      </c>
      <c r="BG84" s="3">
        <f t="shared" si="151"/>
        <v>13.713999999999999</v>
      </c>
      <c r="BH84" s="3">
        <f t="shared" si="152"/>
        <v>9.1426666666666669</v>
      </c>
      <c r="BI84" s="3">
        <f t="shared" si="153"/>
        <v>21.942400000000003</v>
      </c>
      <c r="BJ84" s="3">
        <f t="shared" si="154"/>
        <v>13714</v>
      </c>
      <c r="BK84" s="3">
        <f t="shared" si="155"/>
        <v>1128</v>
      </c>
      <c r="BL84" s="3">
        <f t="shared" si="156"/>
        <v>703</v>
      </c>
      <c r="BM84" s="3">
        <f t="shared" si="157"/>
        <v>0</v>
      </c>
      <c r="BN84" s="3">
        <f t="shared" si="158"/>
        <v>0</v>
      </c>
      <c r="BO84" s="3">
        <f t="shared" si="159"/>
        <v>571.41666666666663</v>
      </c>
      <c r="BP84" s="3">
        <f t="shared" si="160"/>
        <v>1904.7222222222224</v>
      </c>
      <c r="BQ84" s="3">
        <f t="shared" si="161"/>
        <v>190.4722222222222</v>
      </c>
      <c r="BR84" s="3">
        <f t="shared" si="162"/>
        <v>2399.9499999999998</v>
      </c>
      <c r="BS84" s="3">
        <f t="shared" si="163"/>
        <v>411.41999999999996</v>
      </c>
      <c r="BT84" s="3">
        <f t="shared" si="164"/>
        <v>274.28000000000003</v>
      </c>
      <c r="BU84" s="3">
        <f t="shared" si="165"/>
        <v>658.27200000000005</v>
      </c>
      <c r="BV84" s="53">
        <f t="shared" si="177"/>
        <v>164568</v>
      </c>
      <c r="BW84" s="53">
        <f t="shared" si="178"/>
        <v>13536</v>
      </c>
      <c r="BX84" s="53">
        <f t="shared" si="179"/>
        <v>8436</v>
      </c>
      <c r="BY84" s="53">
        <f t="shared" si="180"/>
        <v>0</v>
      </c>
      <c r="BZ84" s="53">
        <f t="shared" si="181"/>
        <v>0</v>
      </c>
      <c r="CA84" s="53">
        <f t="shared" si="182"/>
        <v>6857</v>
      </c>
      <c r="CB84" s="53">
        <f t="shared" si="183"/>
        <v>22856.666666666668</v>
      </c>
      <c r="CC84" s="53">
        <f t="shared" si="184"/>
        <v>2285.6666666666665</v>
      </c>
      <c r="CD84" s="53">
        <f t="shared" si="185"/>
        <v>28799.399999999998</v>
      </c>
      <c r="CE84" s="53">
        <f t="shared" si="186"/>
        <v>4937.0399999999991</v>
      </c>
      <c r="CF84" s="53">
        <f t="shared" si="187"/>
        <v>3291.3600000000006</v>
      </c>
      <c r="CG84" s="53">
        <f t="shared" si="188"/>
        <v>7899.264000000001</v>
      </c>
      <c r="CH84" s="54">
        <f t="shared" si="189"/>
        <v>263466.39733333333</v>
      </c>
      <c r="CI84" s="46"/>
      <c r="CJ84" s="46"/>
      <c r="CK84" s="46"/>
      <c r="CL84" s="46"/>
      <c r="CM84" s="46"/>
      <c r="CN84" s="46"/>
      <c r="CO84" s="46"/>
      <c r="CP84" s="46"/>
    </row>
    <row r="85" spans="1:94" ht="12.75" x14ac:dyDescent="0.2">
      <c r="I85" s="45"/>
      <c r="J85" s="45"/>
      <c r="K85" s="46"/>
      <c r="L85" s="46"/>
      <c r="M85" s="46"/>
      <c r="N85" s="46"/>
      <c r="O85" s="46"/>
      <c r="P85" s="72"/>
      <c r="Q85" s="72"/>
      <c r="R85" s="72"/>
      <c r="S85" s="72"/>
      <c r="T85" s="72"/>
      <c r="U85" s="46"/>
      <c r="V85" s="46"/>
      <c r="W85" s="46"/>
      <c r="X85" s="46"/>
      <c r="Y85" s="46"/>
      <c r="Z85" s="46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46"/>
      <c r="AP85" s="46"/>
      <c r="AQ85" s="46"/>
      <c r="AR85" s="46"/>
      <c r="AS85" s="46"/>
      <c r="AT85" s="46"/>
      <c r="AU85" s="46"/>
      <c r="AV85" s="46"/>
      <c r="AW85" s="74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</row>
    <row r="86" spans="1:94" ht="12.75" x14ac:dyDescent="0.2">
      <c r="A86" s="75"/>
      <c r="B86" s="75"/>
      <c r="C86" s="75" t="s">
        <v>0</v>
      </c>
      <c r="D86" s="75"/>
      <c r="E86" s="75"/>
      <c r="F86" s="75"/>
      <c r="G86" s="75"/>
      <c r="H86" s="75"/>
      <c r="I86" s="76"/>
      <c r="J86" s="76"/>
      <c r="K86" s="77"/>
      <c r="L86" s="77" t="str">
        <f>COUNTIF(L5:L84,"M")&amp;" hombres, "&amp;COUNTIF(L5:L84,"F")&amp;" mujeres, "&amp;COUNTBLANK(L5:L84)&amp;" sin asignar"</f>
        <v>38 hombres, 34 mujeres, 8 sin asignar</v>
      </c>
      <c r="M86" s="77"/>
      <c r="N86" s="77"/>
      <c r="O86" s="77"/>
      <c r="P86" s="78"/>
      <c r="Q86" s="78"/>
      <c r="R86" s="78"/>
      <c r="S86" s="78"/>
      <c r="T86" s="78"/>
      <c r="U86" s="77" t="str">
        <f>COUNTIF(U5:U84,"S")&amp;" Sustantivas, "&amp;COUNTIF(U5:U84,"A")&amp;" Administrativas"</f>
        <v>53 Sustantivas, 27 Administrativas</v>
      </c>
      <c r="V86" s="77"/>
      <c r="W86" s="77"/>
      <c r="X86" s="77"/>
      <c r="Y86" s="77"/>
      <c r="Z86" s="77"/>
      <c r="AA86" s="79">
        <f t="shared" ref="AA86:BF86" si="190">SUBTOTAL(9,AA5:AA84)</f>
        <v>1537922.2000000002</v>
      </c>
      <c r="AB86" s="79">
        <f t="shared" si="190"/>
        <v>96997.760000000009</v>
      </c>
      <c r="AC86" s="79">
        <f t="shared" si="190"/>
        <v>64081.36</v>
      </c>
      <c r="AD86" s="79">
        <f t="shared" si="190"/>
        <v>3717.7979999999998</v>
      </c>
      <c r="AE86" s="79">
        <f t="shared" si="190"/>
        <v>14314.319999999996</v>
      </c>
      <c r="AF86" s="79">
        <f t="shared" si="190"/>
        <v>749797.63269863022</v>
      </c>
      <c r="AG86" s="79">
        <f t="shared" si="190"/>
        <v>2563203.6666666665</v>
      </c>
      <c r="AH86" s="79">
        <f t="shared" si="190"/>
        <v>256320.36666666661</v>
      </c>
      <c r="AI86" s="79">
        <f t="shared" si="190"/>
        <v>269136.38500000001</v>
      </c>
      <c r="AJ86" s="79">
        <f t="shared" si="190"/>
        <v>46137.665999999976</v>
      </c>
      <c r="AK86" s="79">
        <f t="shared" si="190"/>
        <v>30758.443999999985</v>
      </c>
      <c r="AL86" s="79">
        <f t="shared" si="190"/>
        <v>73820.265599999999</v>
      </c>
      <c r="AM86" s="79">
        <f t="shared" si="190"/>
        <v>285971.74435680005</v>
      </c>
      <c r="AN86" s="79">
        <f t="shared" si="190"/>
        <v>176861.0529999999</v>
      </c>
      <c r="AO86" s="80">
        <f t="shared" si="190"/>
        <v>768961.10000000009</v>
      </c>
      <c r="AP86" s="80">
        <f t="shared" si="190"/>
        <v>48498.880000000005</v>
      </c>
      <c r="AQ86" s="80">
        <f t="shared" si="190"/>
        <v>32040.68</v>
      </c>
      <c r="AR86" s="80">
        <f t="shared" si="190"/>
        <v>1858.8989999999999</v>
      </c>
      <c r="AS86" s="80">
        <f t="shared" si="190"/>
        <v>7157.159999999998</v>
      </c>
      <c r="AT86" s="80">
        <f t="shared" si="190"/>
        <v>134568.1925</v>
      </c>
      <c r="AU86" s="80">
        <f t="shared" si="190"/>
        <v>23068.832999999988</v>
      </c>
      <c r="AV86" s="80">
        <f t="shared" si="190"/>
        <v>36910.132799999999</v>
      </c>
      <c r="AW86" s="80">
        <f t="shared" si="190"/>
        <v>627100.32032159984</v>
      </c>
      <c r="AX86" s="80">
        <f t="shared" si="190"/>
        <v>51264.073333333348</v>
      </c>
      <c r="AY86" s="80">
        <f t="shared" si="190"/>
        <v>3233.2586666666643</v>
      </c>
      <c r="AZ86" s="80">
        <f t="shared" si="190"/>
        <v>2136.045333333333</v>
      </c>
      <c r="BA86" s="80">
        <f t="shared" si="190"/>
        <v>123.92659999999999</v>
      </c>
      <c r="BB86" s="80">
        <f t="shared" si="190"/>
        <v>477.14400000000035</v>
      </c>
      <c r="BC86" s="80">
        <f t="shared" si="190"/>
        <v>2054.2400895852879</v>
      </c>
      <c r="BD86" s="80">
        <f t="shared" si="190"/>
        <v>7022.4757990867556</v>
      </c>
      <c r="BE86" s="80">
        <f t="shared" si="190"/>
        <v>702.24757990867613</v>
      </c>
      <c r="BF86" s="80">
        <f t="shared" si="190"/>
        <v>8971.2128333333312</v>
      </c>
      <c r="BG86" s="80">
        <f t="shared" ref="BG86:CH86" si="191">SUBTOTAL(9,BG5:BG84)</f>
        <v>1537.9221999999995</v>
      </c>
      <c r="BH86" s="80">
        <f t="shared" si="191"/>
        <v>1025.2814666666661</v>
      </c>
      <c r="BI86" s="80">
        <f t="shared" si="191"/>
        <v>2460.6755199999989</v>
      </c>
      <c r="BJ86" s="80">
        <f t="shared" si="191"/>
        <v>1537922.2000000002</v>
      </c>
      <c r="BK86" s="80">
        <f t="shared" si="191"/>
        <v>96997.760000000009</v>
      </c>
      <c r="BL86" s="80">
        <f t="shared" si="191"/>
        <v>64081.36</v>
      </c>
      <c r="BM86" s="80">
        <f t="shared" si="191"/>
        <v>3717.7979999999998</v>
      </c>
      <c r="BN86" s="80">
        <f t="shared" si="191"/>
        <v>14314.319999999996</v>
      </c>
      <c r="BO86" s="80">
        <f t="shared" si="191"/>
        <v>62483.13605821917</v>
      </c>
      <c r="BP86" s="80">
        <f t="shared" si="191"/>
        <v>213600.30555555556</v>
      </c>
      <c r="BQ86" s="80">
        <f t="shared" si="191"/>
        <v>21360.030555555564</v>
      </c>
      <c r="BR86" s="80">
        <f t="shared" si="191"/>
        <v>269136.38500000001</v>
      </c>
      <c r="BS86" s="80">
        <f t="shared" si="191"/>
        <v>46137.665999999976</v>
      </c>
      <c r="BT86" s="80">
        <f t="shared" si="191"/>
        <v>30758.443999999985</v>
      </c>
      <c r="BU86" s="80">
        <f t="shared" si="191"/>
        <v>73820.265599999999</v>
      </c>
      <c r="BV86" s="80">
        <f t="shared" si="191"/>
        <v>18455066.399999999</v>
      </c>
      <c r="BW86" s="80">
        <f t="shared" si="191"/>
        <v>1163973.1200000001</v>
      </c>
      <c r="BX86" s="80">
        <f t="shared" si="191"/>
        <v>768976.32000000007</v>
      </c>
      <c r="BY86" s="80">
        <f t="shared" si="191"/>
        <v>44613.576000000001</v>
      </c>
      <c r="BZ86" s="80">
        <f t="shared" si="191"/>
        <v>171771.84000000008</v>
      </c>
      <c r="CA86" s="80">
        <f t="shared" si="191"/>
        <v>749797.63269863022</v>
      </c>
      <c r="CB86" s="80">
        <f t="shared" si="191"/>
        <v>2563203.6666666665</v>
      </c>
      <c r="CC86" s="80">
        <f t="shared" si="191"/>
        <v>256320.36666666661</v>
      </c>
      <c r="CD86" s="80">
        <f t="shared" si="191"/>
        <v>3229636.6199999973</v>
      </c>
      <c r="CE86" s="80">
        <f t="shared" si="191"/>
        <v>553651.99199999997</v>
      </c>
      <c r="CF86" s="80">
        <f t="shared" si="191"/>
        <v>369101.3279999998</v>
      </c>
      <c r="CG86" s="80">
        <f t="shared" si="191"/>
        <v>885843.18720000028</v>
      </c>
      <c r="CH86" s="80">
        <f t="shared" si="191"/>
        <v>29211956.049231976</v>
      </c>
      <c r="CI86" s="46"/>
      <c r="CJ86" s="46"/>
      <c r="CK86" s="46"/>
      <c r="CL86" s="46"/>
      <c r="CM86" s="46"/>
      <c r="CN86" s="46"/>
      <c r="CO86" s="46"/>
      <c r="CP86" s="46"/>
    </row>
    <row r="87" spans="1:94" ht="12.75" x14ac:dyDescent="0.2">
      <c r="I87" s="45"/>
      <c r="J87" s="46"/>
      <c r="K87" s="46"/>
      <c r="L87" s="46"/>
      <c r="M87" s="46"/>
      <c r="N87" s="46"/>
      <c r="O87" s="72"/>
      <c r="P87" s="72"/>
      <c r="Q87" s="72"/>
      <c r="R87" s="72"/>
      <c r="S87" s="72"/>
      <c r="T87" s="46"/>
      <c r="U87" s="74"/>
      <c r="V87" s="46"/>
      <c r="W87" s="46"/>
      <c r="X87" s="74"/>
      <c r="Y87" s="46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46"/>
      <c r="AO87" s="46"/>
      <c r="AP87" s="46"/>
      <c r="AQ87" s="46"/>
      <c r="AR87" s="46"/>
      <c r="AS87" s="46"/>
      <c r="AT87" s="46"/>
      <c r="AU87" s="46"/>
      <c r="AV87" s="74"/>
      <c r="AW87" s="74"/>
      <c r="AX87" s="74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81"/>
      <c r="BV87" s="46"/>
      <c r="BW87" s="46"/>
      <c r="BX87" s="46"/>
      <c r="BY87" s="46"/>
      <c r="BZ87" s="46"/>
      <c r="CA87" s="46"/>
      <c r="CB87" s="46"/>
      <c r="CC87" s="46"/>
      <c r="CD87" s="46"/>
      <c r="CE87" s="82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</row>
    <row r="88" spans="1:94" ht="12.75" x14ac:dyDescent="0.2">
      <c r="I88" s="45"/>
      <c r="J88" s="46"/>
      <c r="K88" s="46"/>
      <c r="L88" s="46"/>
      <c r="M88" s="46"/>
      <c r="N88" s="46"/>
      <c r="O88" s="72"/>
      <c r="P88" s="72"/>
      <c r="Q88" s="72"/>
      <c r="R88" s="72"/>
      <c r="S88" s="72"/>
      <c r="T88" s="46"/>
      <c r="U88" s="46"/>
      <c r="V88" s="46"/>
      <c r="W88" s="46"/>
      <c r="X88" s="46"/>
      <c r="Y88" s="46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46"/>
      <c r="AO88" s="46"/>
      <c r="AP88" s="46"/>
      <c r="AQ88" s="46"/>
      <c r="AR88" s="46"/>
      <c r="AS88" s="46"/>
      <c r="AT88" s="46"/>
      <c r="AU88" s="46"/>
      <c r="AV88" s="74"/>
      <c r="AW88" s="74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81"/>
      <c r="BV88" s="46"/>
      <c r="BW88" s="46"/>
      <c r="BX88" s="46"/>
      <c r="BY88" s="46"/>
      <c r="BZ88" s="46"/>
      <c r="CA88" s="46"/>
      <c r="CB88" s="46"/>
      <c r="CC88" s="46"/>
      <c r="CD88" s="46"/>
      <c r="CE88" s="73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</row>
    <row r="89" spans="1:94" ht="12.75" x14ac:dyDescent="0.2">
      <c r="I89" s="45"/>
      <c r="J89" s="46"/>
      <c r="K89" s="46"/>
      <c r="L89" s="46"/>
      <c r="M89" s="46"/>
      <c r="N89" s="46"/>
      <c r="O89" s="72"/>
      <c r="P89" s="72"/>
      <c r="Q89" s="72"/>
      <c r="R89" s="72"/>
      <c r="S89" s="72"/>
      <c r="T89" s="46"/>
      <c r="U89" s="46"/>
      <c r="V89" s="46"/>
      <c r="W89" s="46"/>
      <c r="X89" s="46"/>
      <c r="Y89" s="46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46"/>
      <c r="AO89" s="46"/>
      <c r="AP89" s="46"/>
      <c r="AQ89" s="46"/>
      <c r="AR89" s="46"/>
      <c r="AS89" s="46"/>
      <c r="AT89" s="46"/>
      <c r="AU89" s="46"/>
      <c r="AV89" s="74"/>
      <c r="AW89" s="74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</row>
    <row r="90" spans="1:94" ht="12.75" x14ac:dyDescent="0.2">
      <c r="I90" s="45"/>
      <c r="J90" s="46"/>
      <c r="K90" s="46"/>
      <c r="L90" s="46"/>
      <c r="M90" s="46"/>
      <c r="N90" s="46"/>
      <c r="O90" s="72"/>
      <c r="P90" s="72"/>
      <c r="Q90" s="72"/>
      <c r="R90" s="72"/>
      <c r="S90" s="72"/>
      <c r="T90" s="46"/>
      <c r="U90" s="46"/>
      <c r="V90" s="46"/>
      <c r="W90" s="46"/>
      <c r="X90" s="46"/>
      <c r="Y90" s="46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46"/>
      <c r="AO90" s="46"/>
      <c r="AP90" s="46"/>
      <c r="AQ90" s="46"/>
      <c r="AR90" s="46"/>
      <c r="AS90" s="46"/>
      <c r="AT90" s="46"/>
      <c r="AU90" s="46"/>
      <c r="AV90" s="74"/>
      <c r="AW90" s="74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</row>
    <row r="91" spans="1:94" ht="12.75" x14ac:dyDescent="0.2">
      <c r="I91" s="45"/>
      <c r="J91" s="46"/>
      <c r="K91" s="46"/>
      <c r="L91" s="46"/>
      <c r="M91" s="46"/>
      <c r="N91" s="46"/>
      <c r="O91" s="72"/>
      <c r="P91" s="72"/>
      <c r="Q91" s="72"/>
      <c r="R91" s="72"/>
      <c r="S91" s="72"/>
      <c r="T91" s="46"/>
      <c r="U91" s="46"/>
      <c r="V91" s="46"/>
      <c r="W91" s="46"/>
      <c r="X91" s="46"/>
      <c r="Y91" s="46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46"/>
      <c r="AO91" s="46"/>
      <c r="AP91" s="46"/>
      <c r="AQ91" s="46"/>
      <c r="AR91" s="46"/>
      <c r="AS91" s="46"/>
      <c r="AT91" s="46"/>
      <c r="AU91" s="46"/>
      <c r="AV91" s="74"/>
      <c r="AW91" s="74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</row>
    <row r="92" spans="1:94" ht="12.75" x14ac:dyDescent="0.2">
      <c r="I92" s="45"/>
      <c r="J92" s="46"/>
      <c r="K92" s="46"/>
      <c r="L92" s="46"/>
      <c r="M92" s="46"/>
      <c r="N92" s="46"/>
      <c r="O92" s="72"/>
      <c r="P92" s="72"/>
      <c r="Q92" s="72"/>
      <c r="R92" s="72"/>
      <c r="S92" s="72"/>
      <c r="T92" s="46"/>
      <c r="U92" s="46"/>
      <c r="V92" s="46"/>
      <c r="W92" s="46"/>
      <c r="X92" s="46"/>
      <c r="Y92" s="46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46"/>
      <c r="AO92" s="46"/>
      <c r="AP92" s="46"/>
      <c r="AQ92" s="46"/>
      <c r="AR92" s="46"/>
      <c r="AS92" s="46"/>
      <c r="AT92" s="46"/>
      <c r="AU92" s="46"/>
      <c r="AV92" s="74"/>
      <c r="AW92" s="74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</row>
    <row r="93" spans="1:94" ht="12.75" x14ac:dyDescent="0.2">
      <c r="I93" s="45"/>
      <c r="J93" s="46"/>
      <c r="K93" s="46"/>
      <c r="L93" s="46"/>
      <c r="M93" s="46"/>
      <c r="N93" s="46"/>
      <c r="O93" s="72"/>
      <c r="P93" s="72"/>
      <c r="Q93" s="72"/>
      <c r="R93" s="72"/>
      <c r="S93" s="72"/>
      <c r="T93" s="46"/>
      <c r="U93" s="46"/>
      <c r="V93" s="46"/>
      <c r="W93" s="46"/>
      <c r="X93" s="46"/>
      <c r="Y93" s="46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46"/>
      <c r="AO93" s="46"/>
      <c r="AP93" s="46"/>
      <c r="AQ93" s="46"/>
      <c r="AR93" s="46"/>
      <c r="AS93" s="46"/>
      <c r="AT93" s="46"/>
      <c r="AU93" s="46"/>
      <c r="AV93" s="74"/>
      <c r="AW93" s="74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</row>
    <row r="94" spans="1:94" ht="12.75" x14ac:dyDescent="0.2">
      <c r="I94" s="45"/>
      <c r="J94" s="46"/>
      <c r="K94" s="46"/>
      <c r="L94" s="46"/>
      <c r="M94" s="46"/>
      <c r="N94" s="46"/>
      <c r="O94" s="72"/>
      <c r="P94" s="72"/>
      <c r="Q94" s="72"/>
      <c r="R94" s="72"/>
      <c r="S94" s="72"/>
      <c r="T94" s="46"/>
      <c r="U94" s="46"/>
      <c r="V94" s="46"/>
      <c r="W94" s="46"/>
      <c r="X94" s="46"/>
      <c r="Y94" s="46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46"/>
      <c r="AO94" s="46"/>
      <c r="AP94" s="46"/>
      <c r="AQ94" s="46"/>
      <c r="AR94" s="46"/>
      <c r="AS94" s="46"/>
      <c r="AT94" s="46"/>
      <c r="AU94" s="46"/>
      <c r="AV94" s="74"/>
      <c r="AW94" s="74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</row>
    <row r="95" spans="1:94" ht="12.75" x14ac:dyDescent="0.2">
      <c r="I95" s="45"/>
      <c r="J95" s="46"/>
      <c r="K95" s="46"/>
      <c r="L95" s="46"/>
      <c r="M95" s="46"/>
      <c r="N95" s="46"/>
      <c r="O95" s="72"/>
      <c r="P95" s="72"/>
      <c r="Q95" s="72"/>
      <c r="R95" s="72"/>
      <c r="S95" s="72"/>
      <c r="T95" s="46"/>
      <c r="U95" s="46"/>
      <c r="V95" s="46"/>
      <c r="W95" s="46"/>
      <c r="X95" s="46"/>
      <c r="Y95" s="46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46"/>
      <c r="AO95" s="46"/>
      <c r="AP95" s="46"/>
      <c r="AQ95" s="46"/>
      <c r="AR95" s="46"/>
      <c r="AS95" s="46"/>
      <c r="AT95" s="46"/>
      <c r="AU95" s="46"/>
      <c r="AV95" s="74"/>
      <c r="AW95" s="74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</row>
    <row r="96" spans="1:94" ht="12.75" x14ac:dyDescent="0.2">
      <c r="I96" s="45"/>
      <c r="J96" s="46"/>
      <c r="K96" s="46"/>
      <c r="L96" s="46"/>
      <c r="M96" s="46"/>
      <c r="N96" s="46"/>
      <c r="O96" s="72"/>
      <c r="P96" s="72"/>
      <c r="Q96" s="72"/>
      <c r="R96" s="72"/>
      <c r="S96" s="72"/>
      <c r="T96" s="46"/>
      <c r="U96" s="46"/>
      <c r="V96" s="46"/>
      <c r="W96" s="46"/>
      <c r="X96" s="46"/>
      <c r="Y96" s="46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46"/>
      <c r="AO96" s="46"/>
      <c r="AP96" s="46"/>
      <c r="AQ96" s="46"/>
      <c r="AR96" s="46"/>
      <c r="AS96" s="46"/>
      <c r="AT96" s="46"/>
      <c r="AU96" s="46"/>
      <c r="AV96" s="74"/>
      <c r="AW96" s="74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</row>
    <row r="97" spans="15:49" ht="12.75" x14ac:dyDescent="0.2">
      <c r="O97" s="10"/>
      <c r="P97" s="10"/>
      <c r="Q97" s="10"/>
      <c r="R97" s="10"/>
      <c r="S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V97" s="22"/>
      <c r="AW97" s="22"/>
    </row>
    <row r="98" spans="15:49" ht="12.75" x14ac:dyDescent="0.2">
      <c r="O98" s="10"/>
      <c r="P98" s="10"/>
      <c r="Q98" s="10"/>
      <c r="R98" s="10"/>
      <c r="S98" s="10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V98" s="22"/>
      <c r="AW98" s="22"/>
    </row>
    <row r="99" spans="15:49" ht="12.75" x14ac:dyDescent="0.2">
      <c r="O99" s="10"/>
      <c r="P99" s="10"/>
      <c r="Q99" s="10"/>
      <c r="R99" s="10"/>
      <c r="S99" s="10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V99" s="22"/>
      <c r="AW99" s="22"/>
    </row>
    <row r="100" spans="15:49" ht="12.75" x14ac:dyDescent="0.2">
      <c r="O100" s="10"/>
      <c r="P100" s="10"/>
      <c r="Q100" s="10"/>
      <c r="R100" s="10"/>
      <c r="S100" s="10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V100" s="22"/>
      <c r="AW100" s="22"/>
    </row>
    <row r="101" spans="15:49" ht="12.75" x14ac:dyDescent="0.2">
      <c r="O101" s="10"/>
      <c r="P101" s="10"/>
      <c r="Q101" s="10"/>
      <c r="R101" s="10"/>
      <c r="S101" s="10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V101" s="22"/>
    </row>
    <row r="102" spans="15:49" ht="12.75" x14ac:dyDescent="0.2">
      <c r="O102" s="10"/>
      <c r="P102" s="10"/>
      <c r="Q102" s="10"/>
      <c r="R102" s="10"/>
      <c r="S102" s="10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V102" s="22"/>
    </row>
    <row r="103" spans="15:49" ht="12.75" x14ac:dyDescent="0.2">
      <c r="O103" s="10"/>
      <c r="P103" s="10"/>
      <c r="Q103" s="10"/>
      <c r="R103" s="10"/>
      <c r="S103" s="1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V103" s="22"/>
    </row>
    <row r="104" spans="15:49" ht="12.75" x14ac:dyDescent="0.2">
      <c r="O104" s="10"/>
      <c r="P104" s="10"/>
      <c r="Q104" s="10"/>
      <c r="R104" s="10"/>
      <c r="S104" s="10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V104" s="22"/>
    </row>
    <row r="105" spans="15:49" ht="12.75" x14ac:dyDescent="0.2">
      <c r="O105" s="10"/>
      <c r="P105" s="10"/>
      <c r="Q105" s="10"/>
      <c r="R105" s="10"/>
      <c r="S105" s="10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V105" s="22"/>
    </row>
    <row r="106" spans="15:49" ht="12.75" x14ac:dyDescent="0.2">
      <c r="O106" s="10"/>
      <c r="P106" s="10"/>
      <c r="Q106" s="10"/>
      <c r="R106" s="10"/>
      <c r="S106" s="1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V106" s="22"/>
    </row>
    <row r="107" spans="15:49" ht="12.75" x14ac:dyDescent="0.2">
      <c r="O107" s="10"/>
      <c r="P107" s="10"/>
      <c r="Q107" s="10"/>
      <c r="R107" s="10"/>
      <c r="S107" s="10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V107" s="22"/>
    </row>
    <row r="108" spans="15:49" ht="12.75" x14ac:dyDescent="0.2">
      <c r="O108" s="10"/>
      <c r="P108" s="10"/>
      <c r="Q108" s="10"/>
      <c r="R108" s="10"/>
      <c r="S108" s="10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V108" s="22"/>
    </row>
    <row r="109" spans="15:49" ht="12.75" x14ac:dyDescent="0.2">
      <c r="O109" s="10"/>
      <c r="P109" s="10"/>
      <c r="Q109" s="10"/>
      <c r="R109" s="10"/>
      <c r="S109" s="10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V109" s="22"/>
    </row>
    <row r="110" spans="15:49" ht="12.75" x14ac:dyDescent="0.2">
      <c r="O110" s="10"/>
      <c r="P110" s="10"/>
      <c r="Q110" s="10"/>
      <c r="R110" s="10"/>
      <c r="S110" s="10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V110" s="22"/>
    </row>
    <row r="111" spans="15:49" ht="12.75" x14ac:dyDescent="0.2">
      <c r="O111" s="10"/>
      <c r="P111" s="10"/>
      <c r="Q111" s="10"/>
      <c r="R111" s="10"/>
      <c r="S111" s="1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V111" s="22"/>
    </row>
    <row r="112" spans="15:49" ht="12.75" x14ac:dyDescent="0.2">
      <c r="O112" s="10"/>
      <c r="P112" s="10"/>
      <c r="Q112" s="10"/>
      <c r="R112" s="10"/>
      <c r="S112" s="10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V112" s="22"/>
    </row>
    <row r="113" spans="15:48" ht="12.75" x14ac:dyDescent="0.2">
      <c r="O113" s="10"/>
      <c r="P113" s="10"/>
      <c r="Q113" s="10"/>
      <c r="R113" s="10"/>
      <c r="S113" s="10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V113" s="22"/>
    </row>
    <row r="114" spans="15:48" ht="12.75" x14ac:dyDescent="0.2">
      <c r="O114" s="10"/>
      <c r="P114" s="10"/>
      <c r="Q114" s="10"/>
      <c r="R114" s="10"/>
      <c r="S114" s="10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V114" s="22"/>
    </row>
    <row r="115" spans="15:48" ht="12.75" x14ac:dyDescent="0.2">
      <c r="O115" s="10"/>
      <c r="P115" s="10"/>
      <c r="Q115" s="10"/>
      <c r="R115" s="10"/>
      <c r="S115" s="10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V115" s="22"/>
    </row>
    <row r="116" spans="15:48" ht="12.75" x14ac:dyDescent="0.2">
      <c r="O116" s="10"/>
      <c r="P116" s="10"/>
      <c r="Q116" s="10"/>
      <c r="R116" s="10"/>
      <c r="S116" s="10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V116" s="22"/>
    </row>
    <row r="117" spans="15:48" ht="12.75" x14ac:dyDescent="0.2">
      <c r="O117" s="10"/>
      <c r="P117" s="10"/>
      <c r="Q117" s="10"/>
      <c r="R117" s="10"/>
      <c r="S117" s="10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V117" s="22"/>
    </row>
    <row r="118" spans="15:48" ht="12.75" x14ac:dyDescent="0.2">
      <c r="O118" s="10"/>
      <c r="P118" s="10"/>
      <c r="Q118" s="10"/>
      <c r="R118" s="10"/>
      <c r="S118" s="1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V118" s="22"/>
    </row>
    <row r="119" spans="15:48" ht="12.75" x14ac:dyDescent="0.2">
      <c r="O119" s="10"/>
      <c r="P119" s="10"/>
      <c r="Q119" s="10"/>
      <c r="R119" s="10"/>
      <c r="S119" s="10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V119" s="22"/>
    </row>
    <row r="120" spans="15:48" ht="12.75" x14ac:dyDescent="0.2">
      <c r="O120" s="10"/>
      <c r="P120" s="10"/>
      <c r="Q120" s="10"/>
      <c r="R120" s="10"/>
      <c r="S120" s="10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V120" s="22"/>
    </row>
    <row r="121" spans="15:48" ht="12.75" x14ac:dyDescent="0.2">
      <c r="O121" s="10"/>
      <c r="P121" s="10"/>
      <c r="Q121" s="10"/>
      <c r="R121" s="10"/>
      <c r="S121" s="10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V121" s="22"/>
    </row>
    <row r="122" spans="15:48" ht="12.75" x14ac:dyDescent="0.2">
      <c r="O122" s="10"/>
      <c r="P122" s="10"/>
      <c r="Q122" s="10"/>
      <c r="R122" s="10"/>
      <c r="S122" s="10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V122" s="22"/>
    </row>
    <row r="123" spans="15:48" ht="12.75" x14ac:dyDescent="0.2">
      <c r="O123" s="10"/>
      <c r="P123" s="10"/>
      <c r="Q123" s="10"/>
      <c r="R123" s="10"/>
      <c r="S123" s="10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V123" s="22"/>
    </row>
    <row r="124" spans="15:48" ht="12.75" x14ac:dyDescent="0.2">
      <c r="O124" s="10"/>
      <c r="P124" s="10"/>
      <c r="Q124" s="10"/>
      <c r="R124" s="10"/>
      <c r="S124" s="10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V124" s="22"/>
    </row>
    <row r="125" spans="15:48" ht="12.75" x14ac:dyDescent="0.2">
      <c r="O125" s="10"/>
      <c r="P125" s="10"/>
      <c r="Q125" s="10"/>
      <c r="R125" s="10"/>
      <c r="S125" s="10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V125" s="22"/>
    </row>
    <row r="126" spans="15:48" ht="12.75" x14ac:dyDescent="0.2">
      <c r="O126" s="10"/>
      <c r="P126" s="10"/>
      <c r="Q126" s="10"/>
      <c r="R126" s="10"/>
      <c r="S126" s="10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V126" s="22"/>
    </row>
    <row r="127" spans="15:48" ht="12.75" x14ac:dyDescent="0.2">
      <c r="O127" s="10"/>
      <c r="P127" s="10"/>
      <c r="Q127" s="10"/>
      <c r="R127" s="10"/>
      <c r="S127" s="10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V127" s="22"/>
    </row>
    <row r="128" spans="15:48" ht="12.75" x14ac:dyDescent="0.2">
      <c r="O128" s="10"/>
      <c r="P128" s="10"/>
      <c r="Q128" s="10"/>
      <c r="R128" s="10"/>
      <c r="S128" s="10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V128" s="22"/>
    </row>
    <row r="129" spans="15:48" ht="12.75" x14ac:dyDescent="0.2">
      <c r="O129" s="10"/>
      <c r="P129" s="10"/>
      <c r="Q129" s="10"/>
      <c r="R129" s="10"/>
      <c r="S129" s="10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V129" s="22"/>
    </row>
    <row r="130" spans="15:48" ht="12.75" x14ac:dyDescent="0.2">
      <c r="O130" s="10"/>
      <c r="P130" s="10"/>
      <c r="Q130" s="10"/>
      <c r="R130" s="10"/>
      <c r="S130" s="10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V130" s="22"/>
    </row>
    <row r="131" spans="15:48" ht="12.75" x14ac:dyDescent="0.2">
      <c r="O131" s="10"/>
      <c r="P131" s="10"/>
      <c r="Q131" s="10"/>
      <c r="R131" s="10"/>
      <c r="S131" s="10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V131" s="22"/>
    </row>
    <row r="132" spans="15:48" ht="12.75" x14ac:dyDescent="0.2">
      <c r="O132" s="10"/>
      <c r="P132" s="10"/>
      <c r="Q132" s="10"/>
      <c r="R132" s="10"/>
      <c r="S132" s="10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V132" s="22"/>
    </row>
    <row r="133" spans="15:48" ht="12.75" x14ac:dyDescent="0.2">
      <c r="O133" s="10"/>
      <c r="P133" s="10"/>
      <c r="Q133" s="10"/>
      <c r="R133" s="10"/>
      <c r="S133" s="10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V133" s="22"/>
    </row>
    <row r="134" spans="15:48" ht="12.75" x14ac:dyDescent="0.2">
      <c r="O134" s="10"/>
      <c r="P134" s="10"/>
      <c r="Q134" s="10"/>
      <c r="R134" s="10"/>
      <c r="S134" s="10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V134" s="22"/>
    </row>
    <row r="135" spans="15:48" ht="12.75" x14ac:dyDescent="0.2">
      <c r="O135" s="10"/>
      <c r="P135" s="10"/>
      <c r="Q135" s="10"/>
      <c r="R135" s="10"/>
      <c r="S135" s="10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V135" s="22"/>
    </row>
    <row r="136" spans="15:48" ht="12.75" x14ac:dyDescent="0.2">
      <c r="O136" s="10"/>
      <c r="P136" s="10"/>
      <c r="Q136" s="10"/>
      <c r="R136" s="10"/>
      <c r="S136" s="10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V136" s="22"/>
    </row>
    <row r="137" spans="15:48" ht="12.75" x14ac:dyDescent="0.2">
      <c r="O137" s="10"/>
      <c r="P137" s="10"/>
      <c r="Q137" s="10"/>
      <c r="R137" s="10"/>
      <c r="S137" s="10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V137" s="22"/>
    </row>
    <row r="138" spans="15:48" ht="12.75" x14ac:dyDescent="0.2">
      <c r="O138" s="10"/>
      <c r="P138" s="10"/>
      <c r="Q138" s="10"/>
      <c r="R138" s="10"/>
      <c r="S138" s="10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V138" s="22"/>
    </row>
    <row r="139" spans="15:48" ht="12.75" x14ac:dyDescent="0.2">
      <c r="O139" s="10"/>
      <c r="P139" s="10"/>
      <c r="Q139" s="10"/>
      <c r="R139" s="10"/>
      <c r="S139" s="10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V139" s="22"/>
    </row>
    <row r="140" spans="15:48" ht="12.75" x14ac:dyDescent="0.2">
      <c r="O140" s="10"/>
      <c r="P140" s="10"/>
      <c r="Q140" s="10"/>
      <c r="R140" s="10"/>
      <c r="S140" s="10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V140" s="22"/>
    </row>
    <row r="141" spans="15:48" ht="12.75" x14ac:dyDescent="0.2">
      <c r="O141" s="10"/>
      <c r="P141" s="10"/>
      <c r="Q141" s="10"/>
      <c r="R141" s="10"/>
      <c r="S141" s="10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V141" s="22"/>
    </row>
    <row r="142" spans="15:48" ht="12.75" x14ac:dyDescent="0.2">
      <c r="O142" s="10"/>
      <c r="P142" s="10"/>
      <c r="Q142" s="10"/>
      <c r="R142" s="10"/>
      <c r="S142" s="10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V142" s="22"/>
    </row>
    <row r="143" spans="15:48" ht="12.75" x14ac:dyDescent="0.2">
      <c r="O143" s="10"/>
      <c r="P143" s="10"/>
      <c r="Q143" s="10"/>
      <c r="R143" s="10"/>
      <c r="S143" s="10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V143" s="22"/>
    </row>
    <row r="144" spans="15:48" ht="12.75" x14ac:dyDescent="0.2">
      <c r="O144" s="10"/>
      <c r="P144" s="10"/>
      <c r="Q144" s="10"/>
      <c r="R144" s="10"/>
      <c r="S144" s="10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V144" s="22"/>
    </row>
    <row r="145" spans="15:48" ht="12.75" x14ac:dyDescent="0.2">
      <c r="O145" s="10"/>
      <c r="P145" s="10"/>
      <c r="Q145" s="10"/>
      <c r="R145" s="10"/>
      <c r="S145" s="10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V145" s="22"/>
    </row>
    <row r="146" spans="15:48" ht="12.75" x14ac:dyDescent="0.2">
      <c r="O146" s="10"/>
      <c r="P146" s="10"/>
      <c r="Q146" s="10"/>
      <c r="R146" s="10"/>
      <c r="S146" s="10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V146" s="22"/>
    </row>
    <row r="147" spans="15:48" ht="12.75" x14ac:dyDescent="0.2">
      <c r="O147" s="10"/>
      <c r="P147" s="10"/>
      <c r="Q147" s="10"/>
      <c r="R147" s="10"/>
      <c r="S147" s="10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V147" s="22"/>
    </row>
    <row r="148" spans="15:48" ht="12.75" x14ac:dyDescent="0.2">
      <c r="O148" s="10"/>
      <c r="P148" s="10"/>
      <c r="Q148" s="10"/>
      <c r="R148" s="10"/>
      <c r="S148" s="10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V148" s="22"/>
    </row>
    <row r="149" spans="15:48" ht="12.75" x14ac:dyDescent="0.2">
      <c r="O149" s="10"/>
      <c r="P149" s="10"/>
      <c r="Q149" s="10"/>
      <c r="R149" s="10"/>
      <c r="S149" s="10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V149" s="22"/>
    </row>
    <row r="150" spans="15:48" ht="12.75" x14ac:dyDescent="0.2">
      <c r="O150" s="10"/>
      <c r="P150" s="10"/>
      <c r="Q150" s="10"/>
      <c r="R150" s="10"/>
      <c r="S150" s="10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V150" s="22"/>
    </row>
    <row r="151" spans="15:48" ht="12.75" x14ac:dyDescent="0.2">
      <c r="O151" s="10"/>
      <c r="P151" s="10"/>
      <c r="Q151" s="10"/>
      <c r="R151" s="10"/>
      <c r="S151" s="10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V151" s="22"/>
    </row>
    <row r="152" spans="15:48" ht="12.75" x14ac:dyDescent="0.2">
      <c r="O152" s="10"/>
      <c r="P152" s="10"/>
      <c r="Q152" s="10"/>
      <c r="R152" s="10"/>
      <c r="S152" s="10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V152" s="22"/>
    </row>
    <row r="153" spans="15:48" ht="12.75" x14ac:dyDescent="0.2">
      <c r="O153" s="10"/>
      <c r="P153" s="10"/>
      <c r="Q153" s="10"/>
      <c r="R153" s="10"/>
      <c r="S153" s="10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V153" s="22"/>
    </row>
    <row r="154" spans="15:48" ht="12.75" x14ac:dyDescent="0.2">
      <c r="O154" s="10"/>
      <c r="P154" s="10"/>
      <c r="Q154" s="10"/>
      <c r="R154" s="10"/>
      <c r="S154" s="10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V154" s="22"/>
    </row>
    <row r="155" spans="15:48" ht="12.75" x14ac:dyDescent="0.2">
      <c r="O155" s="10"/>
      <c r="P155" s="10"/>
      <c r="Q155" s="10"/>
      <c r="R155" s="10"/>
      <c r="S155" s="10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V155" s="22"/>
    </row>
    <row r="156" spans="15:48" ht="12.75" x14ac:dyDescent="0.2">
      <c r="O156" s="10"/>
      <c r="P156" s="10"/>
      <c r="Q156" s="10"/>
      <c r="R156" s="10"/>
      <c r="S156" s="10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V156" s="22"/>
    </row>
    <row r="157" spans="15:48" ht="12.75" x14ac:dyDescent="0.2">
      <c r="O157" s="10"/>
      <c r="P157" s="10"/>
      <c r="Q157" s="10"/>
      <c r="R157" s="10"/>
      <c r="S157" s="10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V157" s="22"/>
    </row>
    <row r="158" spans="15:48" ht="12.75" x14ac:dyDescent="0.2">
      <c r="O158" s="10"/>
      <c r="P158" s="10"/>
      <c r="Q158" s="10"/>
      <c r="R158" s="10"/>
      <c r="S158" s="10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V158" s="22"/>
    </row>
    <row r="159" spans="15:48" ht="12.75" x14ac:dyDescent="0.2">
      <c r="O159" s="10"/>
      <c r="P159" s="10"/>
      <c r="Q159" s="10"/>
      <c r="R159" s="10"/>
      <c r="S159" s="10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V159" s="22"/>
    </row>
    <row r="160" spans="15:48" ht="12.75" x14ac:dyDescent="0.2">
      <c r="O160" s="10"/>
      <c r="P160" s="10"/>
      <c r="Q160" s="10"/>
      <c r="R160" s="10"/>
      <c r="S160" s="10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V160" s="22"/>
    </row>
    <row r="161" spans="15:48" ht="12.75" x14ac:dyDescent="0.2">
      <c r="O161" s="10"/>
      <c r="P161" s="10"/>
      <c r="Q161" s="10"/>
      <c r="R161" s="10"/>
      <c r="S161" s="10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V161" s="22"/>
    </row>
    <row r="162" spans="15:48" ht="12.75" x14ac:dyDescent="0.2">
      <c r="O162" s="10"/>
      <c r="P162" s="10"/>
      <c r="Q162" s="10"/>
      <c r="R162" s="10"/>
      <c r="S162" s="10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V162" s="22"/>
    </row>
    <row r="163" spans="15:48" ht="12.75" x14ac:dyDescent="0.2">
      <c r="O163" s="10"/>
      <c r="P163" s="10"/>
      <c r="Q163" s="10"/>
      <c r="R163" s="10"/>
      <c r="S163" s="10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V163" s="22"/>
    </row>
    <row r="164" spans="15:48" ht="12.75" x14ac:dyDescent="0.2">
      <c r="O164" s="10"/>
      <c r="P164" s="10"/>
      <c r="Q164" s="10"/>
      <c r="R164" s="10"/>
      <c r="S164" s="10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V164" s="22"/>
    </row>
    <row r="165" spans="15:48" ht="12.75" x14ac:dyDescent="0.2">
      <c r="O165" s="10"/>
      <c r="P165" s="10"/>
      <c r="Q165" s="10"/>
      <c r="R165" s="10"/>
      <c r="S165" s="10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V165" s="22"/>
    </row>
    <row r="166" spans="15:48" ht="12.75" x14ac:dyDescent="0.2">
      <c r="O166" s="10"/>
      <c r="P166" s="10"/>
      <c r="Q166" s="10"/>
      <c r="R166" s="10"/>
      <c r="S166" s="10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V166" s="22"/>
    </row>
    <row r="167" spans="15:48" ht="12.75" x14ac:dyDescent="0.2">
      <c r="O167" s="10"/>
      <c r="P167" s="10"/>
      <c r="Q167" s="10"/>
      <c r="R167" s="10"/>
      <c r="S167" s="10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V167" s="22"/>
    </row>
    <row r="168" spans="15:48" ht="12.75" x14ac:dyDescent="0.2">
      <c r="O168" s="10"/>
      <c r="P168" s="10"/>
      <c r="Q168" s="10"/>
      <c r="R168" s="10"/>
      <c r="S168" s="10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V168" s="22"/>
    </row>
    <row r="169" spans="15:48" ht="12.75" x14ac:dyDescent="0.2">
      <c r="O169" s="10"/>
      <c r="P169" s="10"/>
      <c r="Q169" s="10"/>
      <c r="R169" s="10"/>
      <c r="S169" s="10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V169" s="22"/>
    </row>
    <row r="170" spans="15:48" ht="12.75" x14ac:dyDescent="0.2">
      <c r="O170" s="10"/>
      <c r="P170" s="10"/>
      <c r="Q170" s="10"/>
      <c r="R170" s="10"/>
      <c r="S170" s="10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V170" s="22"/>
    </row>
    <row r="171" spans="15:48" ht="12.75" x14ac:dyDescent="0.2">
      <c r="O171" s="10"/>
      <c r="P171" s="10"/>
      <c r="Q171" s="10"/>
      <c r="R171" s="10"/>
      <c r="S171" s="10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V171" s="22"/>
    </row>
    <row r="172" spans="15:48" ht="12.75" x14ac:dyDescent="0.2">
      <c r="O172" s="10"/>
      <c r="P172" s="10"/>
      <c r="Q172" s="10"/>
      <c r="R172" s="10"/>
      <c r="S172" s="10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V172" s="22"/>
    </row>
    <row r="173" spans="15:48" ht="12.75" x14ac:dyDescent="0.2">
      <c r="O173" s="10"/>
      <c r="P173" s="10"/>
      <c r="Q173" s="10"/>
      <c r="R173" s="10"/>
      <c r="S173" s="10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V173" s="22"/>
    </row>
    <row r="174" spans="15:48" ht="12.75" x14ac:dyDescent="0.2">
      <c r="O174" s="10"/>
      <c r="P174" s="10"/>
      <c r="Q174" s="10"/>
      <c r="R174" s="10"/>
      <c r="S174" s="10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V174" s="22"/>
    </row>
    <row r="175" spans="15:48" ht="12.75" x14ac:dyDescent="0.2">
      <c r="O175" s="10"/>
      <c r="P175" s="10"/>
      <c r="Q175" s="10"/>
      <c r="R175" s="10"/>
      <c r="S175" s="10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V175" s="22"/>
    </row>
    <row r="176" spans="15:48" ht="12.75" x14ac:dyDescent="0.2">
      <c r="O176" s="10"/>
      <c r="P176" s="10"/>
      <c r="Q176" s="10"/>
      <c r="R176" s="10"/>
      <c r="S176" s="10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V176" s="22"/>
    </row>
    <row r="177" spans="15:48" ht="12.75" x14ac:dyDescent="0.2">
      <c r="O177" s="10"/>
      <c r="P177" s="10"/>
      <c r="Q177" s="10"/>
      <c r="R177" s="10"/>
      <c r="S177" s="10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V177" s="22"/>
    </row>
    <row r="178" spans="15:48" ht="12.75" x14ac:dyDescent="0.2">
      <c r="O178" s="10"/>
      <c r="P178" s="10"/>
      <c r="Q178" s="10"/>
      <c r="R178" s="10"/>
      <c r="S178" s="10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V178" s="22"/>
    </row>
    <row r="179" spans="15:48" ht="12.75" x14ac:dyDescent="0.2">
      <c r="O179" s="10"/>
      <c r="P179" s="10"/>
      <c r="Q179" s="10"/>
      <c r="R179" s="10"/>
      <c r="S179" s="10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V179" s="22"/>
    </row>
    <row r="180" spans="15:48" ht="12.75" x14ac:dyDescent="0.2">
      <c r="O180" s="10"/>
      <c r="P180" s="10"/>
      <c r="Q180" s="10"/>
      <c r="R180" s="10"/>
      <c r="S180" s="10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V180" s="22"/>
    </row>
    <row r="181" spans="15:48" ht="12.75" x14ac:dyDescent="0.2">
      <c r="O181" s="10"/>
      <c r="P181" s="10"/>
      <c r="Q181" s="10"/>
      <c r="R181" s="10"/>
      <c r="S181" s="10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</sheetData>
  <mergeCells count="5">
    <mergeCell ref="Z3:AK3"/>
    <mergeCell ref="AN3:AU3"/>
    <mergeCell ref="AW3:BH3"/>
    <mergeCell ref="AL3:AM3"/>
    <mergeCell ref="BI3:BT3"/>
  </mergeCells>
  <pageMargins left="3.937007874015748E-2" right="3.937007874015748E-2" top="0.74803149606299213" bottom="0.74803149606299213" header="0.31496062992125984" footer="0.31496062992125984"/>
  <pageSetup paperSize="5" scale="80" fitToHeight="0" orientation="landscape" r:id="rId1"/>
  <headerFooter>
    <oddHeader>&amp;A</oddHeader>
    <oddFooter>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Cristina Corona Gómez</dc:creator>
  <cp:lastModifiedBy>SMachuca</cp:lastModifiedBy>
  <cp:lastPrinted>2018-01-18T20:47:06Z</cp:lastPrinted>
  <dcterms:created xsi:type="dcterms:W3CDTF">2018-01-17T20:28:12Z</dcterms:created>
  <dcterms:modified xsi:type="dcterms:W3CDTF">2018-01-18T20:51:42Z</dcterms:modified>
</cp:coreProperties>
</file>